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squared\Dropbox\Main\Hugo\Sites\CeltAtom.com\content\posts\Grocery-Prices\"/>
    </mc:Choice>
  </mc:AlternateContent>
  <bookViews>
    <workbookView xWindow="0" yWindow="0" windowWidth="10780" windowHeight="4130"/>
  </bookViews>
  <sheets>
    <sheet name="Instructions" sheetId="4" r:id="rId1"/>
    <sheet name="Price Master List" sheetId="1" r:id="rId2"/>
    <sheet name="Item analysis" sheetId="2" r:id="rId3"/>
    <sheet name="Decision" sheetId="3" r:id="rId4"/>
  </sheets>
  <definedNames>
    <definedName name="_xlnm._FilterDatabase" localSheetId="1" hidden="1">'Price Master List'!$A$1:$Q$1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N123" i="1" l="1"/>
  <c r="J123" i="1"/>
  <c r="F123" i="1"/>
  <c r="N42" i="1"/>
  <c r="J42" i="1"/>
  <c r="F42" i="1"/>
  <c r="E4" i="2"/>
  <c r="F4" i="2"/>
  <c r="E5" i="2"/>
  <c r="F5" i="2"/>
  <c r="E6" i="2"/>
  <c r="F6" i="2"/>
  <c r="E7" i="2"/>
  <c r="L7" i="2" s="1"/>
  <c r="F7" i="2"/>
  <c r="E8" i="2"/>
  <c r="F8" i="2"/>
  <c r="E9" i="2"/>
  <c r="F9" i="2"/>
  <c r="E10" i="2"/>
  <c r="F10" i="2"/>
  <c r="E11" i="2"/>
  <c r="F11" i="2"/>
  <c r="E12" i="2"/>
  <c r="F12" i="2"/>
  <c r="E13" i="2"/>
  <c r="F13" i="2"/>
  <c r="E14" i="2"/>
  <c r="F14" i="2"/>
  <c r="E15" i="2"/>
  <c r="F15" i="2"/>
  <c r="E16" i="2"/>
  <c r="F16" i="2"/>
  <c r="M16" i="2" s="1"/>
  <c r="E17" i="2"/>
  <c r="F17" i="2"/>
  <c r="E18" i="2"/>
  <c r="F18" i="2"/>
  <c r="E19" i="2"/>
  <c r="F19" i="2"/>
  <c r="E20" i="2"/>
  <c r="F20" i="2"/>
  <c r="E21" i="2"/>
  <c r="F21" i="2"/>
  <c r="E22" i="2"/>
  <c r="F22" i="2"/>
  <c r="M22" i="2" s="1"/>
  <c r="E23" i="2"/>
  <c r="F23" i="2"/>
  <c r="E24" i="2"/>
  <c r="F24" i="2"/>
  <c r="E25" i="2"/>
  <c r="L25" i="2" s="1"/>
  <c r="F25" i="2"/>
  <c r="E26" i="2"/>
  <c r="F26" i="2"/>
  <c r="E27" i="2"/>
  <c r="F27" i="2"/>
  <c r="E28" i="2"/>
  <c r="F28" i="2"/>
  <c r="E29" i="2"/>
  <c r="F29" i="2"/>
  <c r="E30" i="2"/>
  <c r="F30" i="2"/>
  <c r="E31" i="2"/>
  <c r="F31" i="2"/>
  <c r="E32" i="2"/>
  <c r="F32" i="2"/>
  <c r="E33" i="2"/>
  <c r="F33" i="2"/>
  <c r="E34" i="2"/>
  <c r="F34" i="2"/>
  <c r="E35" i="2"/>
  <c r="F35" i="2"/>
  <c r="M35" i="2" s="1"/>
  <c r="E36" i="2"/>
  <c r="F36" i="2"/>
  <c r="E37" i="2"/>
  <c r="F37" i="2"/>
  <c r="E38" i="2"/>
  <c r="F38" i="2"/>
  <c r="E39" i="2"/>
  <c r="F39" i="2"/>
  <c r="E40" i="2"/>
  <c r="F40" i="2"/>
  <c r="E41" i="2"/>
  <c r="F41" i="2"/>
  <c r="E42" i="2"/>
  <c r="F42" i="2"/>
  <c r="E43" i="2"/>
  <c r="F43" i="2"/>
  <c r="E44" i="2"/>
  <c r="F44" i="2"/>
  <c r="E45" i="2"/>
  <c r="F45" i="2"/>
  <c r="E46" i="2"/>
  <c r="F46" i="2"/>
  <c r="E47" i="2"/>
  <c r="F47" i="2"/>
  <c r="E48" i="2"/>
  <c r="F48" i="2"/>
  <c r="E49" i="2"/>
  <c r="F49" i="2"/>
  <c r="E50" i="2"/>
  <c r="F50" i="2"/>
  <c r="E51" i="2"/>
  <c r="F51" i="2"/>
  <c r="E52" i="2"/>
  <c r="F52" i="2"/>
  <c r="E53" i="2"/>
  <c r="F53" i="2"/>
  <c r="E54" i="2"/>
  <c r="F54" i="2"/>
  <c r="E55" i="2"/>
  <c r="F55" i="2"/>
  <c r="E56" i="2"/>
  <c r="F56" i="2"/>
  <c r="E57" i="2"/>
  <c r="F57" i="2"/>
  <c r="M57" i="2" s="1"/>
  <c r="E58" i="2"/>
  <c r="L58" i="2" s="1"/>
  <c r="F58" i="2"/>
  <c r="E59" i="2"/>
  <c r="F59" i="2"/>
  <c r="E60" i="2"/>
  <c r="F60" i="2"/>
  <c r="E61" i="2"/>
  <c r="F61" i="2"/>
  <c r="E62" i="2"/>
  <c r="F62" i="2"/>
  <c r="E63" i="2"/>
  <c r="F63" i="2"/>
  <c r="M63" i="2" s="1"/>
  <c r="E64" i="2"/>
  <c r="F64" i="2"/>
  <c r="E65" i="2"/>
  <c r="F65" i="2"/>
  <c r="E66" i="2"/>
  <c r="F66" i="2"/>
  <c r="E67" i="2"/>
  <c r="F67" i="2"/>
  <c r="E68" i="2"/>
  <c r="F68" i="2"/>
  <c r="E69" i="2"/>
  <c r="F69" i="2"/>
  <c r="E70" i="2"/>
  <c r="F70" i="2"/>
  <c r="E71" i="2"/>
  <c r="F71" i="2"/>
  <c r="E72" i="2"/>
  <c r="F72" i="2"/>
  <c r="E73" i="2"/>
  <c r="F73" i="2"/>
  <c r="M73" i="2" s="1"/>
  <c r="E74" i="2"/>
  <c r="F74" i="2"/>
  <c r="E75" i="2"/>
  <c r="F75" i="2"/>
  <c r="E76" i="2"/>
  <c r="F76" i="2"/>
  <c r="E77" i="2"/>
  <c r="F77" i="2"/>
  <c r="E78" i="2"/>
  <c r="F78" i="2"/>
  <c r="E79" i="2"/>
  <c r="F79" i="2"/>
  <c r="E80" i="2"/>
  <c r="F80" i="2"/>
  <c r="E81" i="2"/>
  <c r="F81" i="2"/>
  <c r="E82" i="2"/>
  <c r="F82" i="2"/>
  <c r="E83" i="2"/>
  <c r="F83" i="2"/>
  <c r="E84" i="2"/>
  <c r="F84" i="2"/>
  <c r="E85" i="2"/>
  <c r="F85" i="2"/>
  <c r="E86" i="2"/>
  <c r="F86" i="2"/>
  <c r="E87" i="2"/>
  <c r="F87" i="2"/>
  <c r="E88" i="2"/>
  <c r="F88" i="2"/>
  <c r="E89" i="2"/>
  <c r="F89" i="2"/>
  <c r="E90" i="2"/>
  <c r="F90" i="2"/>
  <c r="E91" i="2"/>
  <c r="F91" i="2"/>
  <c r="M91" i="2" s="1"/>
  <c r="E92" i="2"/>
  <c r="F92" i="2"/>
  <c r="E93" i="2"/>
  <c r="F93" i="2"/>
  <c r="M93" i="2" s="1"/>
  <c r="E94" i="2"/>
  <c r="F94" i="2"/>
  <c r="E95" i="2"/>
  <c r="F95" i="2"/>
  <c r="E96" i="2"/>
  <c r="F96" i="2"/>
  <c r="E97" i="2"/>
  <c r="F97" i="2"/>
  <c r="M97" i="2" s="1"/>
  <c r="E98" i="2"/>
  <c r="F98" i="2"/>
  <c r="M98" i="2" s="1"/>
  <c r="E99" i="2"/>
  <c r="F99" i="2"/>
  <c r="E100" i="2"/>
  <c r="F100" i="2"/>
  <c r="E101" i="2"/>
  <c r="F101" i="2"/>
  <c r="E102" i="2"/>
  <c r="F102" i="2"/>
  <c r="E103" i="2"/>
  <c r="F103" i="2"/>
  <c r="E104" i="2"/>
  <c r="F104" i="2"/>
  <c r="E105" i="2"/>
  <c r="F105" i="2"/>
  <c r="E106" i="2"/>
  <c r="F106" i="2"/>
  <c r="E107" i="2"/>
  <c r="F107" i="2"/>
  <c r="E108" i="2"/>
  <c r="F108" i="2"/>
  <c r="E109" i="2"/>
  <c r="F109" i="2"/>
  <c r="E110" i="2"/>
  <c r="F110" i="2"/>
  <c r="E111" i="2"/>
  <c r="F111" i="2"/>
  <c r="E112" i="2"/>
  <c r="F112" i="2"/>
  <c r="E113" i="2"/>
  <c r="F113" i="2"/>
  <c r="E114" i="2"/>
  <c r="F114" i="2"/>
  <c r="E115" i="2"/>
  <c r="F115" i="2"/>
  <c r="E116" i="2"/>
  <c r="F116" i="2"/>
  <c r="E117" i="2"/>
  <c r="F117" i="2"/>
  <c r="E118" i="2"/>
  <c r="F118" i="2"/>
  <c r="M118" i="2" s="1"/>
  <c r="E119" i="2"/>
  <c r="F119" i="2"/>
  <c r="E120" i="2"/>
  <c r="F120" i="2"/>
  <c r="E121" i="2"/>
  <c r="F121" i="2"/>
  <c r="M121" i="2" s="1"/>
  <c r="E122" i="2"/>
  <c r="F122" i="2"/>
  <c r="E123" i="2"/>
  <c r="F123" i="2"/>
  <c r="E124" i="2"/>
  <c r="F124" i="2"/>
  <c r="E125" i="2"/>
  <c r="F125" i="2"/>
  <c r="E126" i="2"/>
  <c r="F126" i="2"/>
  <c r="M126" i="2" s="1"/>
  <c r="E127" i="2"/>
  <c r="F127" i="2"/>
  <c r="M127" i="2" s="1"/>
  <c r="E128" i="2"/>
  <c r="F128" i="2"/>
  <c r="E129" i="2"/>
  <c r="F129" i="2"/>
  <c r="E130" i="2"/>
  <c r="F130" i="2"/>
  <c r="E131" i="2"/>
  <c r="F131" i="2"/>
  <c r="E132" i="2"/>
  <c r="F132" i="2"/>
  <c r="E133" i="2"/>
  <c r="F133" i="2"/>
  <c r="M133" i="2" s="1"/>
  <c r="E134" i="2"/>
  <c r="F134" i="2"/>
  <c r="E135" i="2"/>
  <c r="F135" i="2"/>
  <c r="E136" i="2"/>
  <c r="F136" i="2"/>
  <c r="E137" i="2"/>
  <c r="F137" i="2"/>
  <c r="E138" i="2"/>
  <c r="F138" i="2"/>
  <c r="E139" i="2"/>
  <c r="F139" i="2"/>
  <c r="E140" i="2"/>
  <c r="F140" i="2"/>
  <c r="M140" i="2" s="1"/>
  <c r="E141" i="2"/>
  <c r="F141" i="2"/>
  <c r="E142" i="2"/>
  <c r="F142" i="2"/>
  <c r="E143" i="2"/>
  <c r="F143" i="2"/>
  <c r="E144" i="2"/>
  <c r="F144" i="2"/>
  <c r="E145" i="2"/>
  <c r="F145" i="2"/>
  <c r="E146" i="2"/>
  <c r="F146" i="2"/>
  <c r="F3" i="2"/>
  <c r="E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3" i="2"/>
  <c r="G144" i="2"/>
  <c r="G145" i="2"/>
  <c r="G146" i="2"/>
  <c r="M146" i="2" s="1"/>
  <c r="G3" i="2"/>
  <c r="H3" i="2" s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G142" i="2" s="1"/>
  <c r="N142" i="1"/>
  <c r="N143" i="1"/>
  <c r="N144" i="1"/>
  <c r="N145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N2" i="1"/>
  <c r="J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2" i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3" i="2"/>
  <c r="L52" i="1"/>
  <c r="L100" i="1"/>
  <c r="L87" i="1"/>
  <c r="L69" i="1"/>
  <c r="L123" i="1"/>
  <c r="M2" i="1"/>
  <c r="I2" i="1"/>
  <c r="D137" i="1"/>
  <c r="O137" i="1" s="1"/>
  <c r="B138" i="2" s="1"/>
  <c r="D124" i="1"/>
  <c r="D69" i="1"/>
  <c r="D59" i="1"/>
  <c r="D101" i="1"/>
  <c r="D30" i="1"/>
  <c r="D111" i="1"/>
  <c r="O97" i="1"/>
  <c r="B98" i="2" s="1"/>
  <c r="D105" i="1"/>
  <c r="D142" i="1"/>
  <c r="D43" i="1"/>
  <c r="D125" i="1"/>
  <c r="O125" i="1" s="1"/>
  <c r="B126" i="2" s="1"/>
  <c r="D134" i="1"/>
  <c r="D108" i="1"/>
  <c r="O3" i="1"/>
  <c r="B4" i="2" s="1"/>
  <c r="D4" i="1"/>
  <c r="D79" i="1"/>
  <c r="D32" i="1"/>
  <c r="D74" i="1"/>
  <c r="D132" i="1"/>
  <c r="O37" i="1"/>
  <c r="B38" i="2" s="1"/>
  <c r="H66" i="1"/>
  <c r="D89" i="1"/>
  <c r="D122" i="1"/>
  <c r="O8" i="1"/>
  <c r="B9" i="2" s="1"/>
  <c r="O11" i="1"/>
  <c r="B12" i="2" s="1"/>
  <c r="O24" i="1"/>
  <c r="B25" i="2" s="1"/>
  <c r="O27" i="1"/>
  <c r="B28" i="2" s="1"/>
  <c r="O33" i="1"/>
  <c r="B34" i="2" s="1"/>
  <c r="D123" i="1"/>
  <c r="D90" i="1"/>
  <c r="D144" i="1"/>
  <c r="O129" i="1"/>
  <c r="B130" i="2" s="1"/>
  <c r="D145" i="1"/>
  <c r="O45" i="1"/>
  <c r="B46" i="2" s="1"/>
  <c r="O49" i="1"/>
  <c r="B50" i="2" s="1"/>
  <c r="O53" i="1"/>
  <c r="B54" i="2" s="1"/>
  <c r="O56" i="1"/>
  <c r="B57" i="2" s="1"/>
  <c r="O65" i="1"/>
  <c r="B66" i="2" s="1"/>
  <c r="O73" i="1"/>
  <c r="B74" i="2" s="1"/>
  <c r="O83" i="1"/>
  <c r="B84" i="2" s="1"/>
  <c r="O88" i="1"/>
  <c r="B89" i="2" s="1"/>
  <c r="O115" i="1"/>
  <c r="B116" i="2" s="1"/>
  <c r="O119" i="1"/>
  <c r="B120" i="2" s="1"/>
  <c r="O128" i="1"/>
  <c r="B129" i="2" s="1"/>
  <c r="O140" i="1"/>
  <c r="B141" i="2" s="1"/>
  <c r="H32" i="1"/>
  <c r="H124" i="1"/>
  <c r="H43" i="1"/>
  <c r="H105" i="1"/>
  <c r="H74" i="1"/>
  <c r="H67" i="1"/>
  <c r="M92" i="2" l="1"/>
  <c r="M84" i="2"/>
  <c r="M76" i="2"/>
  <c r="M68" i="2"/>
  <c r="M60" i="2"/>
  <c r="M52" i="2"/>
  <c r="M44" i="2"/>
  <c r="M36" i="2"/>
  <c r="M32" i="2"/>
  <c r="M28" i="2"/>
  <c r="M24" i="2"/>
  <c r="M20" i="2"/>
  <c r="M12" i="2"/>
  <c r="M8" i="2"/>
  <c r="M4" i="2"/>
  <c r="M142" i="2"/>
  <c r="M138" i="2"/>
  <c r="M134" i="2"/>
  <c r="M130" i="2"/>
  <c r="M122" i="2"/>
  <c r="M114" i="2"/>
  <c r="M110" i="2"/>
  <c r="M106" i="2"/>
  <c r="M102" i="2"/>
  <c r="M94" i="2"/>
  <c r="M90" i="2"/>
  <c r="M86" i="2"/>
  <c r="M82" i="2"/>
  <c r="M78" i="2"/>
  <c r="M74" i="2"/>
  <c r="M70" i="2"/>
  <c r="M66" i="2"/>
  <c r="M62" i="2"/>
  <c r="M58" i="2"/>
  <c r="M54" i="2"/>
  <c r="M50" i="2"/>
  <c r="M46" i="2"/>
  <c r="M42" i="2"/>
  <c r="M38" i="2"/>
  <c r="M34" i="2"/>
  <c r="M30" i="2"/>
  <c r="M26" i="2"/>
  <c r="M18" i="2"/>
  <c r="M14" i="2"/>
  <c r="M10" i="2"/>
  <c r="M6" i="2"/>
  <c r="L145" i="2"/>
  <c r="M112" i="2"/>
  <c r="M108" i="2"/>
  <c r="M100" i="2"/>
  <c r="M132" i="2"/>
  <c r="M116" i="2"/>
  <c r="M3" i="2"/>
  <c r="L143" i="2"/>
  <c r="L139" i="2"/>
  <c r="L135" i="2"/>
  <c r="L131" i="2"/>
  <c r="L127" i="2"/>
  <c r="L123" i="2"/>
  <c r="M124" i="2"/>
  <c r="L124" i="2"/>
  <c r="M144" i="2"/>
  <c r="M88" i="2"/>
  <c r="M56" i="2"/>
  <c r="L141" i="2"/>
  <c r="L137" i="2"/>
  <c r="L133" i="2"/>
  <c r="L129" i="2"/>
  <c r="L125" i="2"/>
  <c r="L121" i="2"/>
  <c r="L119" i="2"/>
  <c r="L117" i="2"/>
  <c r="L115" i="2"/>
  <c r="L113" i="2"/>
  <c r="L111" i="2"/>
  <c r="L109" i="2"/>
  <c r="L107" i="2"/>
  <c r="L105" i="2"/>
  <c r="L103" i="2"/>
  <c r="L101" i="2"/>
  <c r="L99" i="2"/>
  <c r="L97" i="2"/>
  <c r="L95" i="2"/>
  <c r="L93" i="2"/>
  <c r="L91" i="2"/>
  <c r="L89" i="2"/>
  <c r="L87" i="2"/>
  <c r="L85" i="2"/>
  <c r="L83" i="2"/>
  <c r="L79" i="2"/>
  <c r="L77" i="2"/>
  <c r="L75" i="2"/>
  <c r="L73" i="2"/>
  <c r="L71" i="2"/>
  <c r="L69" i="2"/>
  <c r="L67" i="2"/>
  <c r="L65" i="2"/>
  <c r="L63" i="2"/>
  <c r="L61" i="2"/>
  <c r="L59" i="2"/>
  <c r="L57" i="2"/>
  <c r="L55" i="2"/>
  <c r="L53" i="2"/>
  <c r="L51" i="2"/>
  <c r="L49" i="2"/>
  <c r="L47" i="2"/>
  <c r="L45" i="2"/>
  <c r="L43" i="2"/>
  <c r="L41" i="2"/>
  <c r="L39" i="2"/>
  <c r="L37" i="2"/>
  <c r="L35" i="2"/>
  <c r="L33" i="2"/>
  <c r="L31" i="2"/>
  <c r="L29" i="2"/>
  <c r="L27" i="2"/>
  <c r="L23" i="2"/>
  <c r="L21" i="2"/>
  <c r="L19" i="2"/>
  <c r="L17" i="2"/>
  <c r="L15" i="2"/>
  <c r="L13" i="2"/>
  <c r="L11" i="2"/>
  <c r="L9" i="2"/>
  <c r="L5" i="2"/>
  <c r="M136" i="2"/>
  <c r="M128" i="2"/>
  <c r="M120" i="2"/>
  <c r="M104" i="2"/>
  <c r="M96" i="2"/>
  <c r="M80" i="2"/>
  <c r="M72" i="2"/>
  <c r="M64" i="2"/>
  <c r="M48" i="2"/>
  <c r="M40" i="2"/>
  <c r="L81" i="2"/>
  <c r="L146" i="2"/>
  <c r="L142" i="2"/>
  <c r="L138" i="2"/>
  <c r="L134" i="2"/>
  <c r="L130" i="2"/>
  <c r="L126" i="2"/>
  <c r="L122" i="2"/>
  <c r="L118" i="2"/>
  <c r="L114" i="2"/>
  <c r="L110" i="2"/>
  <c r="L106" i="2"/>
  <c r="L102" i="2"/>
  <c r="L98" i="2"/>
  <c r="L94" i="2"/>
  <c r="L90" i="2"/>
  <c r="L86" i="2"/>
  <c r="L82" i="2"/>
  <c r="L78" i="2"/>
  <c r="L74" i="2"/>
  <c r="L70" i="2"/>
  <c r="L66" i="2"/>
  <c r="L62" i="2"/>
  <c r="L54" i="2"/>
  <c r="L50" i="2"/>
  <c r="L46" i="2"/>
  <c r="L42" i="2"/>
  <c r="L38" i="2"/>
  <c r="L34" i="2"/>
  <c r="L3" i="2"/>
  <c r="M145" i="2"/>
  <c r="M143" i="2"/>
  <c r="M141" i="2"/>
  <c r="M139" i="2"/>
  <c r="M137" i="2"/>
  <c r="M135" i="2"/>
  <c r="M131" i="2"/>
  <c r="M129" i="2"/>
  <c r="M125" i="2"/>
  <c r="M123" i="2"/>
  <c r="M119" i="2"/>
  <c r="M117" i="2"/>
  <c r="M115" i="2"/>
  <c r="M113" i="2"/>
  <c r="M111" i="2"/>
  <c r="M109" i="2"/>
  <c r="M107" i="2"/>
  <c r="M105" i="2"/>
  <c r="M103" i="2"/>
  <c r="M101" i="2"/>
  <c r="M99" i="2"/>
  <c r="M95" i="2"/>
  <c r="M89" i="2"/>
  <c r="M87" i="2"/>
  <c r="M85" i="2"/>
  <c r="M83" i="2"/>
  <c r="M81" i="2"/>
  <c r="M79" i="2"/>
  <c r="M77" i="2"/>
  <c r="M75" i="2"/>
  <c r="M71" i="2"/>
  <c r="M69" i="2"/>
  <c r="M67" i="2"/>
  <c r="M65" i="2"/>
  <c r="M61" i="2"/>
  <c r="M59" i="2"/>
  <c r="M55" i="2"/>
  <c r="M53" i="2"/>
  <c r="M51" i="2"/>
  <c r="M49" i="2"/>
  <c r="M47" i="2"/>
  <c r="M45" i="2"/>
  <c r="M43" i="2"/>
  <c r="M41" i="2"/>
  <c r="M39" i="2"/>
  <c r="M37" i="2"/>
  <c r="M33" i="2"/>
  <c r="M31" i="2"/>
  <c r="M29" i="2"/>
  <c r="M27" i="2"/>
  <c r="M25" i="2"/>
  <c r="M23" i="2"/>
  <c r="M21" i="2"/>
  <c r="M19" i="2"/>
  <c r="M17" i="2"/>
  <c r="M15" i="2"/>
  <c r="M13" i="2"/>
  <c r="M11" i="2"/>
  <c r="M9" i="2"/>
  <c r="M7" i="2"/>
  <c r="M5" i="2"/>
  <c r="L144" i="2"/>
  <c r="L140" i="2"/>
  <c r="L132" i="2"/>
  <c r="L128" i="2"/>
  <c r="L120" i="2"/>
  <c r="L116" i="2"/>
  <c r="L112" i="2"/>
  <c r="L108" i="2"/>
  <c r="L104" i="2"/>
  <c r="L100" i="2"/>
  <c r="L96" i="2"/>
  <c r="L92" i="2"/>
  <c r="L88" i="2"/>
  <c r="L84" i="2"/>
  <c r="L80" i="2"/>
  <c r="L76" i="2"/>
  <c r="L72" i="2"/>
  <c r="L68" i="2"/>
  <c r="L64" i="2"/>
  <c r="L60" i="2"/>
  <c r="L56" i="2"/>
  <c r="L52" i="2"/>
  <c r="L48" i="2"/>
  <c r="L44" i="2"/>
  <c r="L40" i="2"/>
  <c r="L36" i="2"/>
  <c r="L32" i="2"/>
  <c r="L30" i="2"/>
  <c r="L28" i="2"/>
  <c r="L26" i="2"/>
  <c r="L24" i="2"/>
  <c r="L22" i="2"/>
  <c r="L20" i="2"/>
  <c r="L18" i="2"/>
  <c r="L16" i="2"/>
  <c r="L14" i="2"/>
  <c r="L12" i="2"/>
  <c r="L10" i="2"/>
  <c r="L8" i="2"/>
  <c r="L6" i="2"/>
  <c r="L4" i="2"/>
  <c r="L136" i="2"/>
  <c r="H131" i="2"/>
  <c r="H51" i="2"/>
  <c r="H47" i="2"/>
  <c r="H15" i="2"/>
  <c r="H4" i="2"/>
  <c r="H112" i="2"/>
  <c r="H40" i="2"/>
  <c r="H20" i="2"/>
  <c r="H37" i="2"/>
  <c r="H46" i="2"/>
  <c r="H34" i="2"/>
  <c r="H136" i="2"/>
  <c r="H6" i="2"/>
  <c r="H113" i="2"/>
  <c r="H105" i="2"/>
  <c r="H49" i="2"/>
  <c r="Q137" i="1"/>
  <c r="Q129" i="1"/>
  <c r="Q125" i="1"/>
  <c r="Q97" i="1"/>
  <c r="Q73" i="1"/>
  <c r="Q65" i="1"/>
  <c r="Q53" i="1"/>
  <c r="Q49" i="1"/>
  <c r="Q45" i="1"/>
  <c r="Q37" i="1"/>
  <c r="Q33" i="1"/>
  <c r="Q140" i="1"/>
  <c r="Q128" i="1"/>
  <c r="Q88" i="1"/>
  <c r="Q56" i="1"/>
  <c r="Q24" i="1"/>
  <c r="Q8" i="1"/>
  <c r="Q119" i="1"/>
  <c r="Q115" i="1"/>
  <c r="Q83" i="1"/>
  <c r="Q27" i="1"/>
  <c r="Q11" i="1"/>
  <c r="Q3" i="1"/>
  <c r="O78" i="1"/>
  <c r="O90" i="1"/>
  <c r="O126" i="1"/>
  <c r="O110" i="1"/>
  <c r="O70" i="1"/>
  <c r="O66" i="1"/>
  <c r="O18" i="1"/>
  <c r="O74" i="1"/>
  <c r="H138" i="2"/>
  <c r="H130" i="2"/>
  <c r="H126" i="2"/>
  <c r="H98" i="2"/>
  <c r="H74" i="2"/>
  <c r="H66" i="2"/>
  <c r="H54" i="2"/>
  <c r="H50" i="2"/>
  <c r="H38" i="2"/>
  <c r="H141" i="2"/>
  <c r="H129" i="2"/>
  <c r="H89" i="2"/>
  <c r="H57" i="2"/>
  <c r="H25" i="2"/>
  <c r="H9" i="2"/>
  <c r="H120" i="2"/>
  <c r="H116" i="2"/>
  <c r="H84" i="2"/>
  <c r="H28" i="2"/>
  <c r="H12" i="2"/>
  <c r="O40" i="1"/>
  <c r="O139" i="1"/>
  <c r="O133" i="1"/>
  <c r="O118" i="1"/>
  <c r="Q118" i="1" s="1"/>
  <c r="O114" i="1"/>
  <c r="O109" i="1"/>
  <c r="O103" i="1"/>
  <c r="O99" i="1"/>
  <c r="Q99" i="1" s="1"/>
  <c r="O94" i="1"/>
  <c r="O87" i="1"/>
  <c r="O82" i="1"/>
  <c r="O77" i="1"/>
  <c r="O72" i="1"/>
  <c r="O68" i="1"/>
  <c r="O60" i="1"/>
  <c r="O34" i="1"/>
  <c r="Q34" i="1" s="1"/>
  <c r="O52" i="1"/>
  <c r="O48" i="1"/>
  <c r="O44" i="1"/>
  <c r="O31" i="1"/>
  <c r="O26" i="1"/>
  <c r="O23" i="1"/>
  <c r="O17" i="1"/>
  <c r="O14" i="1"/>
  <c r="Q14" i="1" s="1"/>
  <c r="O10" i="1"/>
  <c r="O7" i="1"/>
  <c r="O36" i="1"/>
  <c r="O32" i="1"/>
  <c r="Q32" i="1" s="1"/>
  <c r="O2" i="1"/>
  <c r="Q2" i="1" s="1"/>
  <c r="O43" i="1"/>
  <c r="O92" i="1"/>
  <c r="O59" i="1"/>
  <c r="Q59" i="1" s="1"/>
  <c r="O135" i="1"/>
  <c r="O100" i="1"/>
  <c r="O95" i="1"/>
  <c r="O61" i="1"/>
  <c r="Q61" i="1" s="1"/>
  <c r="O143" i="1"/>
  <c r="O138" i="1"/>
  <c r="O131" i="1"/>
  <c r="O121" i="1"/>
  <c r="Q121" i="1" s="1"/>
  <c r="O117" i="1"/>
  <c r="O113" i="1"/>
  <c r="O107" i="1"/>
  <c r="O102" i="1"/>
  <c r="Q102" i="1" s="1"/>
  <c r="O98" i="1"/>
  <c r="O93" i="1"/>
  <c r="O86" i="1"/>
  <c r="O81" i="1"/>
  <c r="O76" i="1"/>
  <c r="O85" i="1"/>
  <c r="O67" i="1"/>
  <c r="O63" i="1"/>
  <c r="Q63" i="1" s="1"/>
  <c r="O58" i="1"/>
  <c r="O55" i="1"/>
  <c r="O51" i="1"/>
  <c r="O47" i="1"/>
  <c r="Q47" i="1" s="1"/>
  <c r="O41" i="1"/>
  <c r="O29" i="1"/>
  <c r="O25" i="1"/>
  <c r="O22" i="1"/>
  <c r="Q22" i="1" s="1"/>
  <c r="O16" i="1"/>
  <c r="O13" i="1"/>
  <c r="O9" i="1"/>
  <c r="O38" i="1"/>
  <c r="O35" i="1"/>
  <c r="O79" i="1"/>
  <c r="O108" i="1"/>
  <c r="O142" i="1"/>
  <c r="Q142" i="1" s="1"/>
  <c r="O111" i="1"/>
  <c r="O69" i="1"/>
  <c r="O104" i="1"/>
  <c r="O89" i="1"/>
  <c r="O141" i="1"/>
  <c r="O136" i="1"/>
  <c r="O130" i="1"/>
  <c r="O120" i="1"/>
  <c r="Q120" i="1" s="1"/>
  <c r="O116" i="1"/>
  <c r="O112" i="1"/>
  <c r="O106" i="1"/>
  <c r="O101" i="1"/>
  <c r="O96" i="1"/>
  <c r="Q96" i="1" s="1"/>
  <c r="O91" i="1"/>
  <c r="O84" i="1"/>
  <c r="O80" i="1"/>
  <c r="Q80" i="1" s="1"/>
  <c r="O75" i="1"/>
  <c r="O71" i="1"/>
  <c r="O62" i="1"/>
  <c r="O54" i="1"/>
  <c r="Q54" i="1" s="1"/>
  <c r="O50" i="1"/>
  <c r="O46" i="1"/>
  <c r="O28" i="1"/>
  <c r="O20" i="1"/>
  <c r="Q20" i="1" s="1"/>
  <c r="O19" i="1"/>
  <c r="Q19" i="1" s="1"/>
  <c r="O15" i="1"/>
  <c r="O12" i="1"/>
  <c r="O42" i="1"/>
  <c r="Q42" i="1" s="1"/>
  <c r="O39" i="1"/>
  <c r="O132" i="1"/>
  <c r="O4" i="1"/>
  <c r="O134" i="1"/>
  <c r="Q134" i="1" s="1"/>
  <c r="O105" i="1"/>
  <c r="O21" i="1"/>
  <c r="O30" i="1"/>
  <c r="O124" i="1"/>
  <c r="Q124" i="1" s="1"/>
  <c r="O57" i="1"/>
  <c r="D25" i="2"/>
  <c r="K25" i="2" s="1"/>
  <c r="O127" i="1"/>
  <c r="Q127" i="1" s="1"/>
  <c r="D9" i="2"/>
  <c r="K9" i="2" s="1"/>
  <c r="D126" i="2"/>
  <c r="K126" i="2" s="1"/>
  <c r="D28" i="2"/>
  <c r="K28" i="2" s="1"/>
  <c r="D12" i="2"/>
  <c r="K12" i="2" s="1"/>
  <c r="D4" i="2"/>
  <c r="K4" i="2" s="1"/>
  <c r="D98" i="2"/>
  <c r="K98" i="2" s="1"/>
  <c r="D74" i="2"/>
  <c r="D57" i="2"/>
  <c r="K57" i="2" s="1"/>
  <c r="D138" i="2"/>
  <c r="D130" i="2"/>
  <c r="K130" i="2" s="1"/>
  <c r="D89" i="2"/>
  <c r="K89" i="2" s="1"/>
  <c r="D84" i="2"/>
  <c r="K84" i="2" s="1"/>
  <c r="D66" i="2"/>
  <c r="K66" i="2" s="1"/>
  <c r="D54" i="2"/>
  <c r="K54" i="2" s="1"/>
  <c r="D50" i="2"/>
  <c r="K50" i="2" s="1"/>
  <c r="D46" i="2"/>
  <c r="K46" i="2" s="1"/>
  <c r="D38" i="2"/>
  <c r="D34" i="2"/>
  <c r="D141" i="2"/>
  <c r="K141" i="2" s="1"/>
  <c r="D129" i="2"/>
  <c r="K129" i="2" s="1"/>
  <c r="D120" i="2"/>
  <c r="K120" i="2" s="1"/>
  <c r="D116" i="2"/>
  <c r="K116" i="2" s="1"/>
  <c r="H6" i="1"/>
  <c r="O6" i="1" s="1"/>
  <c r="Q6" i="1" s="1"/>
  <c r="K34" i="2" l="1"/>
  <c r="K38" i="2"/>
  <c r="K138" i="2"/>
  <c r="K74" i="2"/>
  <c r="M148" i="2"/>
  <c r="C10" i="3" s="1"/>
  <c r="L148" i="2"/>
  <c r="C5" i="3" s="1"/>
  <c r="J74" i="2"/>
  <c r="J130" i="2"/>
  <c r="J141" i="2"/>
  <c r="J50" i="2"/>
  <c r="J28" i="2"/>
  <c r="J34" i="2"/>
  <c r="J126" i="2"/>
  <c r="J38" i="2"/>
  <c r="J66" i="2"/>
  <c r="J4" i="2"/>
  <c r="J89" i="2"/>
  <c r="J25" i="2"/>
  <c r="J116" i="2"/>
  <c r="J54" i="2"/>
  <c r="J98" i="2"/>
  <c r="J120" i="2"/>
  <c r="J138" i="2"/>
  <c r="J9" i="2"/>
  <c r="J129" i="2"/>
  <c r="J46" i="2"/>
  <c r="J84" i="2"/>
  <c r="J57" i="2"/>
  <c r="J12" i="2"/>
  <c r="B31" i="2"/>
  <c r="H31" i="2" s="1"/>
  <c r="Q30" i="1"/>
  <c r="D31" i="2" s="1"/>
  <c r="B5" i="2"/>
  <c r="H5" i="2" s="1"/>
  <c r="Q4" i="1"/>
  <c r="B13" i="2"/>
  <c r="H13" i="2" s="1"/>
  <c r="Q12" i="1"/>
  <c r="D13" i="2" s="1"/>
  <c r="B29" i="2"/>
  <c r="H29" i="2" s="1"/>
  <c r="Q28" i="1"/>
  <c r="B63" i="2"/>
  <c r="H63" i="2" s="1"/>
  <c r="Q62" i="1"/>
  <c r="D63" i="2" s="1"/>
  <c r="K63" i="2" s="1"/>
  <c r="B85" i="2"/>
  <c r="H85" i="2" s="1"/>
  <c r="Q84" i="1"/>
  <c r="B107" i="2"/>
  <c r="H107" i="2" s="1"/>
  <c r="Q106" i="1"/>
  <c r="B131" i="2"/>
  <c r="Q130" i="1"/>
  <c r="B105" i="2"/>
  <c r="Q104" i="1"/>
  <c r="D105" i="2" s="1"/>
  <c r="K105" i="2" s="1"/>
  <c r="B109" i="2"/>
  <c r="H109" i="2" s="1"/>
  <c r="Q108" i="1"/>
  <c r="D109" i="2" s="1"/>
  <c r="K109" i="2" s="1"/>
  <c r="B10" i="2"/>
  <c r="H10" i="2" s="1"/>
  <c r="Q9" i="1"/>
  <c r="D10" i="2" s="1"/>
  <c r="K10" i="2" s="1"/>
  <c r="B26" i="2"/>
  <c r="H26" i="2" s="1"/>
  <c r="Q25" i="1"/>
  <c r="D26" i="2" s="1"/>
  <c r="K26" i="2" s="1"/>
  <c r="B52" i="2"/>
  <c r="H52" i="2" s="1"/>
  <c r="Q51" i="1"/>
  <c r="B68" i="2"/>
  <c r="H68" i="2" s="1"/>
  <c r="Q67" i="1"/>
  <c r="D68" i="2" s="1"/>
  <c r="B87" i="2"/>
  <c r="H87" i="2" s="1"/>
  <c r="Q86" i="1"/>
  <c r="D87" i="2" s="1"/>
  <c r="K87" i="2" s="1"/>
  <c r="B108" i="2"/>
  <c r="H108" i="2" s="1"/>
  <c r="Q107" i="1"/>
  <c r="D108" i="2" s="1"/>
  <c r="K108" i="2" s="1"/>
  <c r="B132" i="2"/>
  <c r="H132" i="2" s="1"/>
  <c r="Q131" i="1"/>
  <c r="D132" i="2" s="1"/>
  <c r="B96" i="2"/>
  <c r="H96" i="2" s="1"/>
  <c r="Q95" i="1"/>
  <c r="D96" i="2" s="1"/>
  <c r="K96" i="2" s="1"/>
  <c r="B93" i="2"/>
  <c r="H93" i="2" s="1"/>
  <c r="Q92" i="1"/>
  <c r="D93" i="2" s="1"/>
  <c r="K93" i="2" s="1"/>
  <c r="B37" i="2"/>
  <c r="Q36" i="1"/>
  <c r="D37" i="2" s="1"/>
  <c r="K37" i="2" s="1"/>
  <c r="B18" i="2"/>
  <c r="H18" i="2" s="1"/>
  <c r="Q17" i="1"/>
  <c r="D18" i="2" s="1"/>
  <c r="B45" i="2"/>
  <c r="H45" i="2" s="1"/>
  <c r="Q44" i="1"/>
  <c r="D45" i="2" s="1"/>
  <c r="K45" i="2" s="1"/>
  <c r="B61" i="2"/>
  <c r="H61" i="2" s="1"/>
  <c r="Q60" i="1"/>
  <c r="D61" i="2" s="1"/>
  <c r="K61" i="2" s="1"/>
  <c r="B83" i="2"/>
  <c r="H83" i="2" s="1"/>
  <c r="Q82" i="1"/>
  <c r="D83" i="2" s="1"/>
  <c r="K83" i="2" s="1"/>
  <c r="B104" i="2"/>
  <c r="H104" i="2" s="1"/>
  <c r="Q103" i="1"/>
  <c r="D104" i="2" s="1"/>
  <c r="K104" i="2" s="1"/>
  <c r="B134" i="2"/>
  <c r="H134" i="2" s="1"/>
  <c r="Q133" i="1"/>
  <c r="D134" i="2" s="1"/>
  <c r="B71" i="2"/>
  <c r="H71" i="2" s="1"/>
  <c r="Q70" i="1"/>
  <c r="D71" i="2" s="1"/>
  <c r="K71" i="2" s="1"/>
  <c r="B79" i="2"/>
  <c r="H79" i="2" s="1"/>
  <c r="Q78" i="1"/>
  <c r="D79" i="2" s="1"/>
  <c r="B22" i="2"/>
  <c r="H22" i="2" s="1"/>
  <c r="Q21" i="1"/>
  <c r="B133" i="2"/>
  <c r="H133" i="2" s="1"/>
  <c r="Q132" i="1"/>
  <c r="B16" i="2"/>
  <c r="H16" i="2" s="1"/>
  <c r="Q15" i="1"/>
  <c r="B47" i="2"/>
  <c r="Q46" i="1"/>
  <c r="B72" i="2"/>
  <c r="H72" i="2" s="1"/>
  <c r="Q71" i="1"/>
  <c r="B92" i="2"/>
  <c r="H92" i="2" s="1"/>
  <c r="Q91" i="1"/>
  <c r="D92" i="2" s="1"/>
  <c r="B113" i="2"/>
  <c r="Q112" i="1"/>
  <c r="B137" i="2"/>
  <c r="H137" i="2" s="1"/>
  <c r="Q136" i="1"/>
  <c r="D137" i="2" s="1"/>
  <c r="B70" i="2"/>
  <c r="H70" i="2" s="1"/>
  <c r="Q69" i="1"/>
  <c r="B80" i="2"/>
  <c r="H80" i="2" s="1"/>
  <c r="Q79" i="1"/>
  <c r="B14" i="2"/>
  <c r="H14" i="2" s="1"/>
  <c r="Q13" i="1"/>
  <c r="B30" i="2"/>
  <c r="H30" i="2" s="1"/>
  <c r="Q29" i="1"/>
  <c r="B56" i="2"/>
  <c r="H56" i="2" s="1"/>
  <c r="Q55" i="1"/>
  <c r="B86" i="2"/>
  <c r="H86" i="2" s="1"/>
  <c r="Q85" i="1"/>
  <c r="B94" i="2"/>
  <c r="H94" i="2" s="1"/>
  <c r="Q93" i="1"/>
  <c r="B114" i="2"/>
  <c r="H114" i="2" s="1"/>
  <c r="Q113" i="1"/>
  <c r="B139" i="2"/>
  <c r="H139" i="2" s="1"/>
  <c r="Q138" i="1"/>
  <c r="D139" i="2" s="1"/>
  <c r="B101" i="2"/>
  <c r="H101" i="2" s="1"/>
  <c r="Q100" i="1"/>
  <c r="B44" i="2"/>
  <c r="H44" i="2" s="1"/>
  <c r="Q43" i="1"/>
  <c r="B8" i="2"/>
  <c r="H8" i="2" s="1"/>
  <c r="Q7" i="1"/>
  <c r="B24" i="2"/>
  <c r="H24" i="2" s="1"/>
  <c r="Q23" i="1"/>
  <c r="B49" i="2"/>
  <c r="Q48" i="1"/>
  <c r="B69" i="2"/>
  <c r="H69" i="2" s="1"/>
  <c r="Q68" i="1"/>
  <c r="B88" i="2"/>
  <c r="H88" i="2" s="1"/>
  <c r="Q87" i="1"/>
  <c r="B110" i="2"/>
  <c r="H110" i="2" s="1"/>
  <c r="Q109" i="1"/>
  <c r="B140" i="2"/>
  <c r="H140" i="2" s="1"/>
  <c r="Q139" i="1"/>
  <c r="D140" i="2" s="1"/>
  <c r="K140" i="2" s="1"/>
  <c r="B75" i="2"/>
  <c r="H75" i="2" s="1"/>
  <c r="Q74" i="1"/>
  <c r="D75" i="2" s="1"/>
  <c r="K75" i="2" s="1"/>
  <c r="B111" i="2"/>
  <c r="H111" i="2" s="1"/>
  <c r="Q110" i="1"/>
  <c r="B58" i="2"/>
  <c r="H58" i="2" s="1"/>
  <c r="Q57" i="1"/>
  <c r="B106" i="2"/>
  <c r="H106" i="2" s="1"/>
  <c r="Q105" i="1"/>
  <c r="B40" i="2"/>
  <c r="Q39" i="1"/>
  <c r="B51" i="2"/>
  <c r="Q50" i="1"/>
  <c r="B76" i="2"/>
  <c r="H76" i="2" s="1"/>
  <c r="Q75" i="1"/>
  <c r="B117" i="2"/>
  <c r="H117" i="2" s="1"/>
  <c r="Q116" i="1"/>
  <c r="B142" i="2"/>
  <c r="H142" i="2" s="1"/>
  <c r="Q141" i="1"/>
  <c r="D142" i="2" s="1"/>
  <c r="B112" i="2"/>
  <c r="Q111" i="1"/>
  <c r="B36" i="2"/>
  <c r="H36" i="2" s="1"/>
  <c r="Q35" i="1"/>
  <c r="B17" i="2"/>
  <c r="H17" i="2" s="1"/>
  <c r="Q16" i="1"/>
  <c r="B42" i="2"/>
  <c r="H42" i="2" s="1"/>
  <c r="Q41" i="1"/>
  <c r="B59" i="2"/>
  <c r="H59" i="2" s="1"/>
  <c r="Q58" i="1"/>
  <c r="B77" i="2"/>
  <c r="H77" i="2" s="1"/>
  <c r="Q76" i="1"/>
  <c r="B99" i="2"/>
  <c r="H99" i="2" s="1"/>
  <c r="Q98" i="1"/>
  <c r="D99" i="2" s="1"/>
  <c r="K99" i="2" s="1"/>
  <c r="B118" i="2"/>
  <c r="H118" i="2" s="1"/>
  <c r="Q117" i="1"/>
  <c r="B144" i="2"/>
  <c r="H144" i="2" s="1"/>
  <c r="Q143" i="1"/>
  <c r="B136" i="2"/>
  <c r="Q135" i="1"/>
  <c r="B11" i="2"/>
  <c r="H11" i="2" s="1"/>
  <c r="Q10" i="1"/>
  <c r="B27" i="2"/>
  <c r="H27" i="2" s="1"/>
  <c r="Q26" i="1"/>
  <c r="B53" i="2"/>
  <c r="H53" i="2" s="1"/>
  <c r="Q52" i="1"/>
  <c r="B73" i="2"/>
  <c r="H73" i="2" s="1"/>
  <c r="Q72" i="1"/>
  <c r="B95" i="2"/>
  <c r="H95" i="2" s="1"/>
  <c r="Q94" i="1"/>
  <c r="B115" i="2"/>
  <c r="H115" i="2" s="1"/>
  <c r="Q114" i="1"/>
  <c r="B41" i="2"/>
  <c r="H41" i="2" s="1"/>
  <c r="Q40" i="1"/>
  <c r="D41" i="2" s="1"/>
  <c r="K41" i="2" s="1"/>
  <c r="B19" i="2"/>
  <c r="H19" i="2" s="1"/>
  <c r="Q18" i="1"/>
  <c r="D19" i="2" s="1"/>
  <c r="K19" i="2" s="1"/>
  <c r="B127" i="2"/>
  <c r="H127" i="2" s="1"/>
  <c r="Q126" i="1"/>
  <c r="D127" i="2" s="1"/>
  <c r="K127" i="2" s="1"/>
  <c r="B102" i="2"/>
  <c r="H102" i="2" s="1"/>
  <c r="Q101" i="1"/>
  <c r="D102" i="2" s="1"/>
  <c r="K102" i="2" s="1"/>
  <c r="B90" i="2"/>
  <c r="H90" i="2" s="1"/>
  <c r="Q89" i="1"/>
  <c r="D90" i="2" s="1"/>
  <c r="B39" i="2"/>
  <c r="H39" i="2" s="1"/>
  <c r="Q38" i="1"/>
  <c r="D39" i="2" s="1"/>
  <c r="K39" i="2" s="1"/>
  <c r="B82" i="2"/>
  <c r="H82" i="2" s="1"/>
  <c r="Q81" i="1"/>
  <c r="D82" i="2" s="1"/>
  <c r="K82" i="2" s="1"/>
  <c r="B32" i="2"/>
  <c r="H32" i="2" s="1"/>
  <c r="Q31" i="1"/>
  <c r="D32" i="2" s="1"/>
  <c r="K32" i="2" s="1"/>
  <c r="B78" i="2"/>
  <c r="H78" i="2" s="1"/>
  <c r="Q77" i="1"/>
  <c r="D78" i="2" s="1"/>
  <c r="B67" i="2"/>
  <c r="H67" i="2" s="1"/>
  <c r="Q66" i="1"/>
  <c r="D67" i="2" s="1"/>
  <c r="B91" i="2"/>
  <c r="H91" i="2" s="1"/>
  <c r="Q90" i="1"/>
  <c r="D91" i="2" s="1"/>
  <c r="K91" i="2" s="1"/>
  <c r="B20" i="2"/>
  <c r="B15" i="2"/>
  <c r="D15" i="2"/>
  <c r="K15" i="2" s="1"/>
  <c r="D29" i="2"/>
  <c r="D47" i="2"/>
  <c r="K47" i="2" s="1"/>
  <c r="D16" i="2"/>
  <c r="K16" i="2" s="1"/>
  <c r="D111" i="2"/>
  <c r="K111" i="2" s="1"/>
  <c r="D53" i="2"/>
  <c r="K53" i="2" s="1"/>
  <c r="D73" i="2"/>
  <c r="K73" i="2" s="1"/>
  <c r="D27" i="2"/>
  <c r="K27" i="2" s="1"/>
  <c r="D42" i="2"/>
  <c r="K42" i="2" s="1"/>
  <c r="D112" i="2"/>
  <c r="K112" i="2" s="1"/>
  <c r="D5" i="2"/>
  <c r="K5" i="2" s="1"/>
  <c r="D115" i="2"/>
  <c r="K115" i="2" s="1"/>
  <c r="D118" i="2"/>
  <c r="K118" i="2" s="1"/>
  <c r="D52" i="2"/>
  <c r="K52" i="2" s="1"/>
  <c r="D76" i="2"/>
  <c r="K76" i="2" s="1"/>
  <c r="D144" i="2"/>
  <c r="K144" i="2" s="1"/>
  <c r="D20" i="2"/>
  <c r="K20" i="2" s="1"/>
  <c r="D77" i="2"/>
  <c r="K77" i="2" s="1"/>
  <c r="B3" i="2"/>
  <c r="D113" i="2"/>
  <c r="K113" i="2" s="1"/>
  <c r="D58" i="2"/>
  <c r="D17" i="2"/>
  <c r="D69" i="2"/>
  <c r="D11" i="2"/>
  <c r="K11" i="2" s="1"/>
  <c r="D30" i="2"/>
  <c r="K30" i="2" s="1"/>
  <c r="D70" i="2"/>
  <c r="K70" i="2" s="1"/>
  <c r="D101" i="2"/>
  <c r="D117" i="2"/>
  <c r="D22" i="2"/>
  <c r="K22" i="2" s="1"/>
  <c r="D40" i="2"/>
  <c r="K40" i="2" s="1"/>
  <c r="D95" i="2"/>
  <c r="K95" i="2" s="1"/>
  <c r="D36" i="2"/>
  <c r="K36" i="2" s="1"/>
  <c r="D85" i="2"/>
  <c r="K85" i="2" s="1"/>
  <c r="D131" i="2"/>
  <c r="D3" i="2"/>
  <c r="D56" i="2"/>
  <c r="K56" i="2" s="1"/>
  <c r="D107" i="2"/>
  <c r="K107" i="2" s="1"/>
  <c r="D128" i="2"/>
  <c r="B128" i="2"/>
  <c r="H128" i="2" s="1"/>
  <c r="D125" i="2"/>
  <c r="K125" i="2" s="1"/>
  <c r="B125" i="2"/>
  <c r="H125" i="2" s="1"/>
  <c r="D135" i="2"/>
  <c r="K135" i="2" s="1"/>
  <c r="B135" i="2"/>
  <c r="H135" i="2" s="1"/>
  <c r="D43" i="2"/>
  <c r="K43" i="2" s="1"/>
  <c r="B43" i="2"/>
  <c r="H43" i="2" s="1"/>
  <c r="D21" i="2"/>
  <c r="K21" i="2" s="1"/>
  <c r="B21" i="2"/>
  <c r="H21" i="2" s="1"/>
  <c r="D55" i="2"/>
  <c r="K55" i="2" s="1"/>
  <c r="B55" i="2"/>
  <c r="H55" i="2" s="1"/>
  <c r="D81" i="2"/>
  <c r="K81" i="2" s="1"/>
  <c r="B81" i="2"/>
  <c r="H81" i="2" s="1"/>
  <c r="D121" i="2"/>
  <c r="K121" i="2" s="1"/>
  <c r="B121" i="2"/>
  <c r="H121" i="2" s="1"/>
  <c r="D143" i="2"/>
  <c r="K143" i="2" s="1"/>
  <c r="B143" i="2"/>
  <c r="H143" i="2" s="1"/>
  <c r="D23" i="2"/>
  <c r="K23" i="2" s="1"/>
  <c r="B23" i="2"/>
  <c r="H23" i="2" s="1"/>
  <c r="D48" i="2"/>
  <c r="K48" i="2" s="1"/>
  <c r="B48" i="2"/>
  <c r="H48" i="2" s="1"/>
  <c r="D64" i="2"/>
  <c r="K64" i="2" s="1"/>
  <c r="B64" i="2"/>
  <c r="H64" i="2" s="1"/>
  <c r="D103" i="2"/>
  <c r="B103" i="2"/>
  <c r="H103" i="2" s="1"/>
  <c r="D122" i="2"/>
  <c r="K122" i="2" s="1"/>
  <c r="B122" i="2"/>
  <c r="H122" i="2" s="1"/>
  <c r="D62" i="2"/>
  <c r="K62" i="2" s="1"/>
  <c r="B62" i="2"/>
  <c r="H62" i="2" s="1"/>
  <c r="D60" i="2"/>
  <c r="K60" i="2" s="1"/>
  <c r="B60" i="2"/>
  <c r="H60" i="2" s="1"/>
  <c r="D33" i="2"/>
  <c r="K33" i="2" s="1"/>
  <c r="B33" i="2"/>
  <c r="H33" i="2" s="1"/>
  <c r="D35" i="2"/>
  <c r="K35" i="2" s="1"/>
  <c r="B35" i="2"/>
  <c r="H35" i="2" s="1"/>
  <c r="D100" i="2"/>
  <c r="K100" i="2" s="1"/>
  <c r="B100" i="2"/>
  <c r="H100" i="2" s="1"/>
  <c r="D119" i="2"/>
  <c r="B119" i="2"/>
  <c r="H119" i="2" s="1"/>
  <c r="D14" i="2"/>
  <c r="K14" i="2" s="1"/>
  <c r="D114" i="2"/>
  <c r="K114" i="2" s="1"/>
  <c r="D133" i="2"/>
  <c r="K133" i="2" s="1"/>
  <c r="D72" i="2"/>
  <c r="D44" i="2"/>
  <c r="K44" i="2" s="1"/>
  <c r="D97" i="2"/>
  <c r="K97" i="2" s="1"/>
  <c r="B97" i="2"/>
  <c r="H97" i="2" s="1"/>
  <c r="D49" i="2"/>
  <c r="K49" i="2" s="1"/>
  <c r="D86" i="2"/>
  <c r="D88" i="2"/>
  <c r="K88" i="2" s="1"/>
  <c r="D80" i="2"/>
  <c r="K80" i="2" s="1"/>
  <c r="D8" i="2"/>
  <c r="K8" i="2" s="1"/>
  <c r="D106" i="2"/>
  <c r="K106" i="2" s="1"/>
  <c r="D110" i="2"/>
  <c r="K110" i="2" s="1"/>
  <c r="D51" i="2"/>
  <c r="K51" i="2" s="1"/>
  <c r="D136" i="2"/>
  <c r="K136" i="2" s="1"/>
  <c r="D24" i="2"/>
  <c r="K24" i="2" s="1"/>
  <c r="D59" i="2"/>
  <c r="D94" i="2"/>
  <c r="K94" i="2" s="1"/>
  <c r="D7" i="2"/>
  <c r="K7" i="2" s="1"/>
  <c r="B7" i="2"/>
  <c r="H7" i="2" s="1"/>
  <c r="H122" i="1"/>
  <c r="H123" i="1"/>
  <c r="H64" i="1"/>
  <c r="H145" i="1"/>
  <c r="H144" i="1"/>
  <c r="K69" i="2" l="1"/>
  <c r="K72" i="2"/>
  <c r="K58" i="2"/>
  <c r="K119" i="2"/>
  <c r="K117" i="2"/>
  <c r="K67" i="2"/>
  <c r="K142" i="2"/>
  <c r="K139" i="2"/>
  <c r="K18" i="2"/>
  <c r="K132" i="2"/>
  <c r="K13" i="2"/>
  <c r="K31" i="2"/>
  <c r="K59" i="2"/>
  <c r="J3" i="2"/>
  <c r="K3" i="2"/>
  <c r="K101" i="2"/>
  <c r="K86" i="2"/>
  <c r="K103" i="2"/>
  <c r="K128" i="2"/>
  <c r="J131" i="2"/>
  <c r="K131" i="2"/>
  <c r="K17" i="2"/>
  <c r="K29" i="2"/>
  <c r="K78" i="2"/>
  <c r="K90" i="2"/>
  <c r="K137" i="2"/>
  <c r="K92" i="2"/>
  <c r="K79" i="2"/>
  <c r="K134" i="2"/>
  <c r="K68" i="2"/>
  <c r="J106" i="2"/>
  <c r="J100" i="2"/>
  <c r="J62" i="2"/>
  <c r="J48" i="2"/>
  <c r="J81" i="2"/>
  <c r="J21" i="2"/>
  <c r="J128" i="2"/>
  <c r="J40" i="2"/>
  <c r="J101" i="2"/>
  <c r="J69" i="2"/>
  <c r="J76" i="2"/>
  <c r="J5" i="2"/>
  <c r="J73" i="2"/>
  <c r="J47" i="2"/>
  <c r="J88" i="2"/>
  <c r="J114" i="2"/>
  <c r="J95" i="2"/>
  <c r="J117" i="2"/>
  <c r="J11" i="2"/>
  <c r="J113" i="2"/>
  <c r="J144" i="2"/>
  <c r="J115" i="2"/>
  <c r="J27" i="2"/>
  <c r="J16" i="2"/>
  <c r="J67" i="2"/>
  <c r="J32" i="2"/>
  <c r="J39" i="2"/>
  <c r="J102" i="2"/>
  <c r="J19" i="2"/>
  <c r="J75" i="2"/>
  <c r="J139" i="2"/>
  <c r="J71" i="2"/>
  <c r="J104" i="2"/>
  <c r="J61" i="2"/>
  <c r="J18" i="2"/>
  <c r="J93" i="2"/>
  <c r="J132" i="2"/>
  <c r="J87" i="2"/>
  <c r="J10" i="2"/>
  <c r="J105" i="2"/>
  <c r="J63" i="2"/>
  <c r="J13" i="2"/>
  <c r="J31" i="2"/>
  <c r="J24" i="2"/>
  <c r="J86" i="2"/>
  <c r="J44" i="2"/>
  <c r="J14" i="2"/>
  <c r="J33" i="2"/>
  <c r="J103" i="2"/>
  <c r="J143" i="2"/>
  <c r="J135" i="2"/>
  <c r="J7" i="2"/>
  <c r="J136" i="2"/>
  <c r="J8" i="2"/>
  <c r="J49" i="2"/>
  <c r="J72" i="2"/>
  <c r="J107" i="2"/>
  <c r="J85" i="2"/>
  <c r="J22" i="2"/>
  <c r="J70" i="2"/>
  <c r="J17" i="2"/>
  <c r="J77" i="2"/>
  <c r="J52" i="2"/>
  <c r="J112" i="2"/>
  <c r="J53" i="2"/>
  <c r="J29" i="2"/>
  <c r="J91" i="2"/>
  <c r="J78" i="2"/>
  <c r="J82" i="2"/>
  <c r="J90" i="2"/>
  <c r="J127" i="2"/>
  <c r="J41" i="2"/>
  <c r="J99" i="2"/>
  <c r="J140" i="2"/>
  <c r="J137" i="2"/>
  <c r="J92" i="2"/>
  <c r="J79" i="2"/>
  <c r="J134" i="2"/>
  <c r="J83" i="2"/>
  <c r="J45" i="2"/>
  <c r="J37" i="2"/>
  <c r="J96" i="2"/>
  <c r="J108" i="2"/>
  <c r="J68" i="2"/>
  <c r="J26" i="2"/>
  <c r="J109" i="2"/>
  <c r="J59" i="2"/>
  <c r="J110" i="2"/>
  <c r="J97" i="2"/>
  <c r="J94" i="2"/>
  <c r="J51" i="2"/>
  <c r="J80" i="2"/>
  <c r="J133" i="2"/>
  <c r="J119" i="2"/>
  <c r="J35" i="2"/>
  <c r="J60" i="2"/>
  <c r="J122" i="2"/>
  <c r="J64" i="2"/>
  <c r="J23" i="2"/>
  <c r="J121" i="2"/>
  <c r="J55" i="2"/>
  <c r="J43" i="2"/>
  <c r="J125" i="2"/>
  <c r="J56" i="2"/>
  <c r="J36" i="2"/>
  <c r="J142" i="2"/>
  <c r="J30" i="2"/>
  <c r="J58" i="2"/>
  <c r="J20" i="2"/>
  <c r="J118" i="2"/>
  <c r="J42" i="2"/>
  <c r="J111" i="2"/>
  <c r="J15" i="2"/>
  <c r="O144" i="1"/>
  <c r="Q144" i="1" s="1"/>
  <c r="O145" i="1"/>
  <c r="Q145" i="1" s="1"/>
  <c r="O64" i="1"/>
  <c r="Q64" i="1" s="1"/>
  <c r="O123" i="1"/>
  <c r="Q123" i="1" s="1"/>
  <c r="O122" i="1"/>
  <c r="Q122" i="1" s="1"/>
  <c r="D124" i="2" l="1"/>
  <c r="B124" i="2"/>
  <c r="H124" i="2" s="1"/>
  <c r="D65" i="2"/>
  <c r="K65" i="2" s="1"/>
  <c r="B65" i="2"/>
  <c r="H65" i="2" s="1"/>
  <c r="D146" i="2"/>
  <c r="K146" i="2" s="1"/>
  <c r="B146" i="2"/>
  <c r="H146" i="2" s="1"/>
  <c r="D123" i="2"/>
  <c r="K123" i="2" s="1"/>
  <c r="B123" i="2"/>
  <c r="H123" i="2" s="1"/>
  <c r="D145" i="2"/>
  <c r="K145" i="2" s="1"/>
  <c r="B145" i="2"/>
  <c r="H145" i="2" s="1"/>
  <c r="K124" i="2" l="1"/>
  <c r="J65" i="2"/>
  <c r="J123" i="2"/>
  <c r="J145" i="2"/>
  <c r="J146" i="2"/>
  <c r="J124" i="2"/>
  <c r="E7" i="3"/>
  <c r="E2" i="3" l="1"/>
  <c r="E3" i="3"/>
  <c r="O5" i="1" l="1"/>
  <c r="Q5" i="1" s="1"/>
  <c r="E2" i="1"/>
  <c r="B6" i="2" l="1"/>
  <c r="D6" i="2"/>
  <c r="K6" i="2" s="1"/>
  <c r="K148" i="2" l="1"/>
  <c r="J6" i="2"/>
  <c r="J148" i="2" l="1"/>
  <c r="C14" i="3" s="1"/>
  <c r="E12" i="3" s="1"/>
</calcChain>
</file>

<file path=xl/sharedStrings.xml><?xml version="1.0" encoding="utf-8"?>
<sst xmlns="http://schemas.openxmlformats.org/spreadsheetml/2006/main" count="647" uniqueCount="220">
  <si>
    <t>Item</t>
  </si>
  <si>
    <t>Department</t>
  </si>
  <si>
    <t>Costco</t>
  </si>
  <si>
    <t>Aldi</t>
  </si>
  <si>
    <t>Chicken breast</t>
  </si>
  <si>
    <t>Meat</t>
  </si>
  <si>
    <t>Ground turkey</t>
  </si>
  <si>
    <t>Ground beef</t>
  </si>
  <si>
    <t>Whole chicken</t>
  </si>
  <si>
    <t>Pork butt</t>
  </si>
  <si>
    <t>Shredded cheddar</t>
  </si>
  <si>
    <t>Dairy</t>
  </si>
  <si>
    <t>Shredded mozzarella</t>
  </si>
  <si>
    <t>Block cheddar</t>
  </si>
  <si>
    <t>Summer sausage</t>
  </si>
  <si>
    <t>Pantry</t>
  </si>
  <si>
    <t>White onions</t>
  </si>
  <si>
    <t>Produce</t>
  </si>
  <si>
    <t>Yellow onions</t>
  </si>
  <si>
    <t>Green peppers</t>
  </si>
  <si>
    <t>Romaine</t>
  </si>
  <si>
    <t>Jasmine rice</t>
  </si>
  <si>
    <t>Cans</t>
  </si>
  <si>
    <t>Stewed tomatoes</t>
  </si>
  <si>
    <t>Diced tomatoes</t>
  </si>
  <si>
    <t>Black beans</t>
  </si>
  <si>
    <t>Tomato paste</t>
  </si>
  <si>
    <t>Frozen broccoli</t>
  </si>
  <si>
    <t>Frozen</t>
  </si>
  <si>
    <t>Italian seasoning</t>
  </si>
  <si>
    <t>Minced garlic</t>
  </si>
  <si>
    <t>Tortilla chips</t>
  </si>
  <si>
    <t>Vanilla Greek yogurt</t>
  </si>
  <si>
    <t>Honey Nut Cheerios</t>
  </si>
  <si>
    <t>Unsalted butter</t>
  </si>
  <si>
    <t>dairy</t>
  </si>
  <si>
    <t>Sugar</t>
  </si>
  <si>
    <t>Brown sugar</t>
  </si>
  <si>
    <t>Honey</t>
  </si>
  <si>
    <t>Unsweetened applesauce</t>
  </si>
  <si>
    <t>Oatmeal packets</t>
  </si>
  <si>
    <t>Mac n cheese</t>
  </si>
  <si>
    <t>pasta</t>
  </si>
  <si>
    <t>Bacon</t>
  </si>
  <si>
    <t>Bananas</t>
  </si>
  <si>
    <t>Olive oil</t>
  </si>
  <si>
    <t>Spaghetti noodles</t>
  </si>
  <si>
    <t>Cost</t>
  </si>
  <si>
    <t>Where to Buy</t>
  </si>
  <si>
    <t>Where to buy</t>
  </si>
  <si>
    <t>Price</t>
  </si>
  <si>
    <t>Savings over Aldi</t>
  </si>
  <si>
    <t xml:space="preserve">Should you buy a Sam's Membership? </t>
  </si>
  <si>
    <t>Costco Savings (annual)</t>
  </si>
  <si>
    <t>Quantity Each Month</t>
  </si>
  <si>
    <t>Sam's Club</t>
  </si>
  <si>
    <t>Sam's Savings (annual)</t>
  </si>
  <si>
    <t>Per Item</t>
  </si>
  <si>
    <t>Monthly</t>
  </si>
  <si>
    <t>Annual</t>
  </si>
  <si>
    <t xml:space="preserve">Price </t>
  </si>
  <si>
    <t xml:space="preserve">Should you buy a Costco Membership? </t>
  </si>
  <si>
    <t>Should you buy both Memberships?</t>
  </si>
  <si>
    <t>Savings</t>
  </si>
  <si>
    <t>If only buying Sam's</t>
  </si>
  <si>
    <t>If only buying Costco</t>
  </si>
  <si>
    <t xml:space="preserve">Input only the yellow cells on the "Item Analysis" tab for data that is true for your family. </t>
  </si>
  <si>
    <t>The Decision tab will tell you where you should shop.</t>
  </si>
  <si>
    <t>Plus Membership?</t>
  </si>
  <si>
    <t>Ziplock quart</t>
  </si>
  <si>
    <t>Ziplock Gallon</t>
  </si>
  <si>
    <t>quantity</t>
  </si>
  <si>
    <t>price/quantity</t>
  </si>
  <si>
    <t>pantry</t>
  </si>
  <si>
    <t>unit</t>
  </si>
  <si>
    <t>bag</t>
  </si>
  <si>
    <t>pound</t>
  </si>
  <si>
    <t>Grape Tomatoes</t>
  </si>
  <si>
    <t>Oranges</t>
  </si>
  <si>
    <t>fuji apples</t>
  </si>
  <si>
    <t>Gold Potatoes</t>
  </si>
  <si>
    <t>baking potatoes</t>
  </si>
  <si>
    <t>sweet potatoes</t>
  </si>
  <si>
    <t>spinach</t>
  </si>
  <si>
    <t>baby bella mushrooms</t>
  </si>
  <si>
    <t>ounces</t>
  </si>
  <si>
    <t>colored bell peppers</t>
  </si>
  <si>
    <t>count</t>
  </si>
  <si>
    <t>carrots</t>
  </si>
  <si>
    <t>broccoli</t>
  </si>
  <si>
    <t>brussels sprouts</t>
  </si>
  <si>
    <t>pounds</t>
  </si>
  <si>
    <t>bagels</t>
  </si>
  <si>
    <t>bread</t>
  </si>
  <si>
    <t>beef for stew</t>
  </si>
  <si>
    <t>chuck roast</t>
  </si>
  <si>
    <t>meat</t>
  </si>
  <si>
    <t>pork loin</t>
  </si>
  <si>
    <t>boneless pork shoulder</t>
  </si>
  <si>
    <t>pork sausage</t>
  </si>
  <si>
    <t>rotisserie chicken</t>
  </si>
  <si>
    <t>pesto</t>
  </si>
  <si>
    <t>shredded parmesan</t>
  </si>
  <si>
    <t>block parmesean</t>
  </si>
  <si>
    <t>hummus</t>
  </si>
  <si>
    <t>eggs (large package)</t>
  </si>
  <si>
    <t>dozen</t>
  </si>
  <si>
    <t>milk 2%</t>
  </si>
  <si>
    <t>Milk whole</t>
  </si>
  <si>
    <t>milk skim</t>
  </si>
  <si>
    <t>gallon</t>
  </si>
  <si>
    <t>sour cream</t>
  </si>
  <si>
    <t>ham lunchmeat</t>
  </si>
  <si>
    <t>toilet paper</t>
  </si>
  <si>
    <t>paper products</t>
  </si>
  <si>
    <t xml:space="preserve">squares </t>
  </si>
  <si>
    <t>tissues</t>
  </si>
  <si>
    <t>wipes</t>
  </si>
  <si>
    <t>diapers</t>
  </si>
  <si>
    <t>water bottles</t>
  </si>
  <si>
    <t>drinks</t>
  </si>
  <si>
    <t>bottles</t>
  </si>
  <si>
    <t>trash bags</t>
  </si>
  <si>
    <t>bags</t>
  </si>
  <si>
    <t>fabric softener sheets</t>
  </si>
  <si>
    <t>dishwasher gel</t>
  </si>
  <si>
    <t>cleaning</t>
  </si>
  <si>
    <t>dishwasher pods</t>
  </si>
  <si>
    <t>all free &amp; clear</t>
  </si>
  <si>
    <t>frozen green beans</t>
  </si>
  <si>
    <t>dog food</t>
  </si>
  <si>
    <t>pet</t>
  </si>
  <si>
    <t>cat food</t>
  </si>
  <si>
    <t>kitty litter</t>
  </si>
  <si>
    <t>chicken nuggets</t>
  </si>
  <si>
    <t>frozen chicken breast</t>
  </si>
  <si>
    <t>pepperoni pizza</t>
  </si>
  <si>
    <t>turkey sausage links</t>
  </si>
  <si>
    <t>dog biscuits</t>
  </si>
  <si>
    <t>shredded cheddar jack</t>
  </si>
  <si>
    <t>shredded queso</t>
  </si>
  <si>
    <t>string cheese</t>
  </si>
  <si>
    <t>shredded mexican blend</t>
  </si>
  <si>
    <t>shredded colby jack</t>
  </si>
  <si>
    <t>this assumes you have the space to always store bulk everything</t>
  </si>
  <si>
    <t>does not take into consideration brand preferences on most items</t>
  </si>
  <si>
    <t xml:space="preserve">Costco seems to have more regular sales. I didn’t put sales prices. </t>
  </si>
  <si>
    <t>block colby jack</t>
  </si>
  <si>
    <t>house blend coffee</t>
  </si>
  <si>
    <t>activia yogurt</t>
  </si>
  <si>
    <t>apple juice</t>
  </si>
  <si>
    <t>nuts</t>
  </si>
  <si>
    <t>pecan halves</t>
  </si>
  <si>
    <t>whole almonds</t>
  </si>
  <si>
    <t>walnuts</t>
  </si>
  <si>
    <t>vanilla extract</t>
  </si>
  <si>
    <t>pancake mix</t>
  </si>
  <si>
    <t>liter</t>
  </si>
  <si>
    <t>powdered sugar</t>
  </si>
  <si>
    <t>cooking spray</t>
  </si>
  <si>
    <t>flour</t>
  </si>
  <si>
    <t>baking soda</t>
  </si>
  <si>
    <t>worchestershire Sauce</t>
  </si>
  <si>
    <t>panty</t>
  </si>
  <si>
    <t>soy sauce</t>
  </si>
  <si>
    <t>ketchup</t>
  </si>
  <si>
    <t>salsa</t>
  </si>
  <si>
    <t>vinegar</t>
  </si>
  <si>
    <t>velveeta</t>
  </si>
  <si>
    <t>caesar salad kit</t>
  </si>
  <si>
    <t>Marinara</t>
  </si>
  <si>
    <t>Mandarins</t>
  </si>
  <si>
    <t>alfredo sauce</t>
  </si>
  <si>
    <t>green beans</t>
  </si>
  <si>
    <t>canned green beans</t>
  </si>
  <si>
    <t>cans</t>
  </si>
  <si>
    <t>Long grain rice</t>
  </si>
  <si>
    <t>Coke cans</t>
  </si>
  <si>
    <t>boxes</t>
  </si>
  <si>
    <t>Graham Crackers</t>
  </si>
  <si>
    <t>Chicken broth</t>
  </si>
  <si>
    <t>goldfish</t>
  </si>
  <si>
    <t>cheezits</t>
  </si>
  <si>
    <t>ritz crackers</t>
  </si>
  <si>
    <t>applesauce pouches</t>
  </si>
  <si>
    <t>raisins</t>
  </si>
  <si>
    <t>Tortillas</t>
  </si>
  <si>
    <t>Clif Bars</t>
  </si>
  <si>
    <t>Mixed nuts</t>
  </si>
  <si>
    <t>cashews</t>
  </si>
  <si>
    <t>Contact solution</t>
  </si>
  <si>
    <t>medicine</t>
  </si>
  <si>
    <t>advil</t>
  </si>
  <si>
    <t>ibuprofen</t>
  </si>
  <si>
    <t>Hot dog combo</t>
  </si>
  <si>
    <t>Garlic powder</t>
  </si>
  <si>
    <t>chili powder</t>
  </si>
  <si>
    <t>diaper size 3</t>
  </si>
  <si>
    <t>paper towel</t>
  </si>
  <si>
    <t>sheet</t>
  </si>
  <si>
    <t>Diaper wipes</t>
  </si>
  <si>
    <t>Tomato sauce</t>
  </si>
  <si>
    <t>Pork Chop</t>
  </si>
  <si>
    <t>Breakfast sausage patty</t>
  </si>
  <si>
    <t>peanuts</t>
  </si>
  <si>
    <t>x</t>
  </si>
  <si>
    <t>Per quantity</t>
  </si>
  <si>
    <t>Bread loaf</t>
  </si>
  <si>
    <t>Almost all of the Aldi items are off brand, while those same items are often name brand at discount stores (ie Bunny bread at Sams &amp; Costco v off brand at Aldi)</t>
  </si>
  <si>
    <t xml:space="preserve">I don't know how to build in fuel. It's a moving target, and likely to majorly impact the decision. I'm sorry. </t>
  </si>
  <si>
    <t>peanut butter JIF</t>
  </si>
  <si>
    <t>tomatoes</t>
  </si>
  <si>
    <t>oatmeal instant</t>
  </si>
  <si>
    <t>eggs (small package)</t>
  </si>
  <si>
    <t>/quantity</t>
  </si>
  <si>
    <t>Aldi Price</t>
  </si>
  <si>
    <t>If an item is not sold at Aldi, savings value will equal zero. This could be wrong for your household decision making (ie would you buy item at target, or go without?)</t>
  </si>
  <si>
    <t>Sam's Price</t>
  </si>
  <si>
    <t>Costco Price</t>
  </si>
  <si>
    <t>Savings (net)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</si>
</sst>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00_);_(&quot;$&quot;* \(#,##0.000\);_(&quot;$&quot;* &quot;-&quot;??_);_(@_)"/>
    <numFmt numFmtId="166" formatCode="_(&quot;$&quot;* #,##0.00000_);_(&quot;$&quot;* \(#,##0.00000\);_(&quot;$&quot;* &quot;-&quot;??_);_(@_)"/>
    <numFmt numFmtId="167" formatCode="_(* #,##0.00000_);_(* \(#,##0.000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164" fontId="0" fillId="0" borderId="4" xfId="1" applyNumberFormat="1" applyFont="1" applyBorder="1"/>
    <xf numFmtId="164" fontId="0" fillId="0" borderId="0" xfId="1" applyNumberFormat="1" applyFont="1" applyBorder="1"/>
    <xf numFmtId="164" fontId="0" fillId="0" borderId="5" xfId="1" applyNumberFormat="1" applyFont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6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44" fontId="0" fillId="4" borderId="0" xfId="2" applyFont="1" applyFill="1"/>
    <xf numFmtId="44" fontId="0" fillId="6" borderId="0" xfId="2" applyFont="1" applyFill="1"/>
    <xf numFmtId="1" fontId="0" fillId="6" borderId="0" xfId="0" applyNumberFormat="1" applyFill="1"/>
    <xf numFmtId="165" fontId="0" fillId="6" borderId="0" xfId="2" applyNumberFormat="1" applyFont="1" applyFill="1"/>
    <xf numFmtId="165" fontId="0" fillId="4" borderId="0" xfId="2" applyNumberFormat="1" applyFont="1" applyFill="1"/>
    <xf numFmtId="0" fontId="0" fillId="7" borderId="0" xfId="0" applyFill="1"/>
    <xf numFmtId="44" fontId="0" fillId="0" borderId="0" xfId="0" applyNumberFormat="1"/>
    <xf numFmtId="0" fontId="0" fillId="8" borderId="0" xfId="0" applyFill="1"/>
    <xf numFmtId="43" fontId="0" fillId="0" borderId="4" xfId="1" applyNumberFormat="1" applyFont="1" applyBorder="1"/>
    <xf numFmtId="43" fontId="0" fillId="0" borderId="0" xfId="1" applyNumberFormat="1" applyFont="1" applyBorder="1"/>
    <xf numFmtId="43" fontId="0" fillId="0" borderId="5" xfId="1" applyNumberFormat="1" applyFont="1" applyBorder="1"/>
    <xf numFmtId="44" fontId="0" fillId="7" borderId="0" xfId="2" applyFont="1" applyFill="1"/>
    <xf numFmtId="164" fontId="0" fillId="0" borderId="0" xfId="1" applyNumberFormat="1" applyFont="1"/>
    <xf numFmtId="165" fontId="0" fillId="7" borderId="0" xfId="2" applyNumberFormat="1" applyFont="1" applyFill="1"/>
    <xf numFmtId="165" fontId="0" fillId="0" borderId="0" xfId="0" applyNumberFormat="1"/>
    <xf numFmtId="166" fontId="0" fillId="7" borderId="0" xfId="2" applyNumberFormat="1" applyFont="1" applyFill="1"/>
    <xf numFmtId="166" fontId="0" fillId="4" borderId="0" xfId="2" applyNumberFormat="1" applyFont="1" applyFill="1"/>
    <xf numFmtId="166" fontId="0" fillId="6" borderId="0" xfId="2" applyNumberFormat="1" applyFont="1" applyFill="1"/>
    <xf numFmtId="166" fontId="0" fillId="0" borderId="0" xfId="0" applyNumberFormat="1"/>
    <xf numFmtId="167" fontId="0" fillId="0" borderId="4" xfId="1" applyNumberFormat="1" applyFont="1" applyBorder="1"/>
    <xf numFmtId="164" fontId="0" fillId="3" borderId="0" xfId="1" applyNumberFormat="1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6"/>
  <sheetViews>
    <sheetView tabSelected="1" workbookViewId="0"/>
  </sheetViews>
  <sheetFormatPr defaultRowHeight="14.5" x14ac:dyDescent="0.35"/>
  <sheetData>
    <row r="2" spans="1:1" x14ac:dyDescent="0.35">
      <c r="A2" t="s">
        <v>66</v>
      </c>
    </row>
    <row r="4" spans="1:1" x14ac:dyDescent="0.35">
      <c r="A4" t="s">
        <v>67</v>
      </c>
    </row>
    <row r="6" spans="1:1" x14ac:dyDescent="0.35">
      <c r="A6" t="s">
        <v>144</v>
      </c>
    </row>
    <row r="8" spans="1:1" x14ac:dyDescent="0.35">
      <c r="A8" t="s">
        <v>145</v>
      </c>
    </row>
    <row r="10" spans="1:1" x14ac:dyDescent="0.35">
      <c r="A10" t="s">
        <v>146</v>
      </c>
    </row>
    <row r="12" spans="1:1" x14ac:dyDescent="0.35">
      <c r="A12" t="s">
        <v>208</v>
      </c>
    </row>
    <row r="14" spans="1:1" x14ac:dyDescent="0.35">
      <c r="A14" t="s">
        <v>209</v>
      </c>
    </row>
    <row r="16" spans="1:1" x14ac:dyDescent="0.35">
      <c r="A16" t="s">
        <v>216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5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4.5" x14ac:dyDescent="0.35"/>
  <cols>
    <col min="1" max="1" width="23.1796875" customWidth="1"/>
    <col min="3" max="5" width="8.7265625" style="17" customWidth="1"/>
    <col min="6" max="6" width="10.7265625" style="19" customWidth="1"/>
    <col min="7" max="9" width="8.7265625" style="15"/>
    <col min="10" max="10" width="10.54296875" style="15" customWidth="1"/>
    <col min="11" max="13" width="8.7265625" style="23"/>
    <col min="14" max="14" width="9.6328125" style="23" bestFit="1" customWidth="1"/>
    <col min="15" max="15" width="9.6328125" bestFit="1" customWidth="1"/>
  </cols>
  <sheetData>
    <row r="1" spans="1:17" x14ac:dyDescent="0.35">
      <c r="A1" t="s">
        <v>0</v>
      </c>
      <c r="B1" t="s">
        <v>1</v>
      </c>
      <c r="C1" s="17" t="s">
        <v>55</v>
      </c>
      <c r="D1" s="17" t="s">
        <v>71</v>
      </c>
      <c r="E1" s="17" t="s">
        <v>74</v>
      </c>
      <c r="F1" s="19" t="s">
        <v>72</v>
      </c>
      <c r="G1" s="15" t="s">
        <v>2</v>
      </c>
      <c r="H1" s="15" t="s">
        <v>71</v>
      </c>
      <c r="I1" s="15" t="s">
        <v>74</v>
      </c>
      <c r="J1" s="15" t="s">
        <v>72</v>
      </c>
      <c r="K1" s="23" t="s">
        <v>3</v>
      </c>
      <c r="L1" s="17" t="s">
        <v>71</v>
      </c>
      <c r="M1" s="17" t="s">
        <v>74</v>
      </c>
      <c r="N1" s="19" t="s">
        <v>72</v>
      </c>
      <c r="O1" t="s">
        <v>50</v>
      </c>
      <c r="P1" t="s">
        <v>206</v>
      </c>
      <c r="Q1" t="s">
        <v>49</v>
      </c>
    </row>
    <row r="2" spans="1:17" x14ac:dyDescent="0.35">
      <c r="A2" t="s">
        <v>149</v>
      </c>
      <c r="B2" t="s">
        <v>11</v>
      </c>
      <c r="C2" s="17">
        <v>8.98</v>
      </c>
      <c r="D2" s="17">
        <v>24</v>
      </c>
      <c r="E2" s="17" t="str">
        <f t="shared" ref="E2:E65" si="0">P2</f>
        <v>count</v>
      </c>
      <c r="F2" s="19">
        <f t="shared" ref="F2:F41" si="1">ROUND(C2/D2,2)</f>
        <v>0.37</v>
      </c>
      <c r="G2" s="15">
        <v>9.59</v>
      </c>
      <c r="H2" s="15">
        <v>24</v>
      </c>
      <c r="I2" s="15" t="str">
        <f t="shared" ref="I2:I65" si="2">P2</f>
        <v>count</v>
      </c>
      <c r="J2" s="18">
        <f t="shared" ref="J2:J41" si="3">ROUND(G2/H2,2)</f>
        <v>0.4</v>
      </c>
      <c r="K2" s="23" t="s">
        <v>205</v>
      </c>
      <c r="M2" s="23" t="str">
        <f t="shared" ref="M2:M65" si="4">P2</f>
        <v>count</v>
      </c>
      <c r="N2" s="29" t="e">
        <f t="shared" ref="N2:N41" si="5">ROUND(K2/L2,2)</f>
        <v>#VALUE!</v>
      </c>
      <c r="O2" s="24">
        <f t="shared" ref="O2:O33" si="6">MIN(IFERROR(F2,N2),IFERROR(J2,F2),IFERROR(N2,J2))</f>
        <v>0.37</v>
      </c>
      <c r="P2" t="s">
        <v>87</v>
      </c>
      <c r="Q2" t="str">
        <f t="shared" ref="Q2:Q33" si="7">IF(O2=IFERROR(N2,9999),$K$1,IF(O2=IFERROR(J2,9999),$G$1,$C$1))</f>
        <v>Sam's Club</v>
      </c>
    </row>
    <row r="3" spans="1:17" x14ac:dyDescent="0.35">
      <c r="A3" t="s">
        <v>192</v>
      </c>
      <c r="B3" t="s">
        <v>191</v>
      </c>
      <c r="C3" s="17">
        <v>19.48</v>
      </c>
      <c r="D3" s="17">
        <v>216</v>
      </c>
      <c r="E3" s="17" t="str">
        <f t="shared" si="0"/>
        <v>count</v>
      </c>
      <c r="F3" s="19">
        <f t="shared" si="1"/>
        <v>0.09</v>
      </c>
      <c r="G3" s="15">
        <v>17.39</v>
      </c>
      <c r="H3" s="15">
        <v>360</v>
      </c>
      <c r="I3" s="15" t="str">
        <f t="shared" si="2"/>
        <v>count</v>
      </c>
      <c r="J3" s="18">
        <f t="shared" si="3"/>
        <v>0.05</v>
      </c>
      <c r="K3" s="23" t="s">
        <v>205</v>
      </c>
      <c r="M3" s="23" t="str">
        <f t="shared" si="4"/>
        <v>count</v>
      </c>
      <c r="N3" s="29" t="e">
        <f t="shared" si="5"/>
        <v>#VALUE!</v>
      </c>
      <c r="O3" s="24">
        <f t="shared" si="6"/>
        <v>0.05</v>
      </c>
      <c r="P3" t="s">
        <v>87</v>
      </c>
      <c r="Q3" t="str">
        <f t="shared" si="7"/>
        <v>Costco</v>
      </c>
    </row>
    <row r="4" spans="1:17" x14ac:dyDescent="0.35">
      <c r="A4" t="s">
        <v>172</v>
      </c>
      <c r="B4" t="s">
        <v>73</v>
      </c>
      <c r="C4" s="17">
        <v>6.12</v>
      </c>
      <c r="D4" s="17">
        <f>15*3</f>
        <v>45</v>
      </c>
      <c r="E4" s="17" t="str">
        <f t="shared" si="0"/>
        <v>ounces</v>
      </c>
      <c r="F4" s="19">
        <f t="shared" si="1"/>
        <v>0.14000000000000001</v>
      </c>
      <c r="G4" s="15">
        <v>10.99</v>
      </c>
      <c r="H4" s="15">
        <v>49</v>
      </c>
      <c r="I4" s="15" t="str">
        <f t="shared" si="2"/>
        <v>ounces</v>
      </c>
      <c r="J4" s="18">
        <f t="shared" si="3"/>
        <v>0.22</v>
      </c>
      <c r="K4" s="16">
        <v>1.89</v>
      </c>
      <c r="L4" s="23">
        <v>14</v>
      </c>
      <c r="M4" s="23" t="str">
        <f t="shared" si="4"/>
        <v>ounces</v>
      </c>
      <c r="N4" s="29">
        <f t="shared" si="5"/>
        <v>0.14000000000000001</v>
      </c>
      <c r="O4" s="24">
        <f t="shared" si="6"/>
        <v>0.14000000000000001</v>
      </c>
      <c r="P4" t="s">
        <v>85</v>
      </c>
      <c r="Q4" t="str">
        <f t="shared" si="7"/>
        <v>Aldi</v>
      </c>
    </row>
    <row r="5" spans="1:17" x14ac:dyDescent="0.35">
      <c r="A5" t="s">
        <v>128</v>
      </c>
      <c r="B5" t="s">
        <v>126</v>
      </c>
      <c r="C5" s="17">
        <v>14.67</v>
      </c>
      <c r="D5" s="20">
        <v>249</v>
      </c>
      <c r="E5" s="17" t="str">
        <f t="shared" si="0"/>
        <v>ounces</v>
      </c>
      <c r="F5" s="19">
        <f t="shared" si="1"/>
        <v>0.06</v>
      </c>
      <c r="G5" s="15">
        <v>14.99</v>
      </c>
      <c r="H5" s="15">
        <v>237</v>
      </c>
      <c r="I5" s="15" t="str">
        <f t="shared" si="2"/>
        <v>ounces</v>
      </c>
      <c r="J5" s="18">
        <f t="shared" si="3"/>
        <v>0.06</v>
      </c>
      <c r="K5" s="23" t="s">
        <v>205</v>
      </c>
      <c r="M5" s="23" t="str">
        <f t="shared" si="4"/>
        <v>ounces</v>
      </c>
      <c r="N5" s="29" t="e">
        <f t="shared" si="5"/>
        <v>#VALUE!</v>
      </c>
      <c r="O5" s="24">
        <f t="shared" si="6"/>
        <v>0.06</v>
      </c>
      <c r="P5" t="s">
        <v>85</v>
      </c>
      <c r="Q5" t="str">
        <f t="shared" si="7"/>
        <v>Costco</v>
      </c>
    </row>
    <row r="6" spans="1:17" x14ac:dyDescent="0.35">
      <c r="A6" t="s">
        <v>150</v>
      </c>
      <c r="B6" t="s">
        <v>120</v>
      </c>
      <c r="E6" s="17" t="str">
        <f t="shared" si="0"/>
        <v>ounces</v>
      </c>
      <c r="F6" s="19" t="e">
        <f t="shared" si="1"/>
        <v>#DIV/0!</v>
      </c>
      <c r="G6" s="15">
        <v>8.49</v>
      </c>
      <c r="H6" s="15">
        <f>2*128</f>
        <v>256</v>
      </c>
      <c r="I6" s="15" t="str">
        <f t="shared" si="2"/>
        <v>ounces</v>
      </c>
      <c r="J6" s="18">
        <f t="shared" si="3"/>
        <v>0.03</v>
      </c>
      <c r="K6" s="23">
        <v>1.42</v>
      </c>
      <c r="L6" s="23">
        <v>64</v>
      </c>
      <c r="M6" s="23" t="str">
        <f t="shared" si="4"/>
        <v>ounces</v>
      </c>
      <c r="N6" s="29">
        <f t="shared" si="5"/>
        <v>0.02</v>
      </c>
      <c r="O6" s="24">
        <f t="shared" si="6"/>
        <v>0.02</v>
      </c>
      <c r="P6" t="s">
        <v>85</v>
      </c>
      <c r="Q6" t="str">
        <f t="shared" si="7"/>
        <v>Aldi</v>
      </c>
    </row>
    <row r="7" spans="1:17" x14ac:dyDescent="0.35">
      <c r="A7" t="s">
        <v>184</v>
      </c>
      <c r="B7" t="s">
        <v>73</v>
      </c>
      <c r="C7" s="17">
        <v>12.98</v>
      </c>
      <c r="D7" s="17">
        <v>32</v>
      </c>
      <c r="E7" s="17" t="str">
        <f t="shared" si="0"/>
        <v>count</v>
      </c>
      <c r="F7" s="19">
        <f t="shared" si="1"/>
        <v>0.41</v>
      </c>
      <c r="G7" s="15">
        <v>18.989999999999998</v>
      </c>
      <c r="H7" s="15">
        <v>48</v>
      </c>
      <c r="I7" s="15" t="str">
        <f t="shared" si="2"/>
        <v>count</v>
      </c>
      <c r="J7" s="18">
        <f t="shared" si="3"/>
        <v>0.4</v>
      </c>
      <c r="K7" s="23">
        <v>4.3899999999999997</v>
      </c>
      <c r="L7" s="23">
        <v>12</v>
      </c>
      <c r="M7" s="23" t="str">
        <f t="shared" si="4"/>
        <v>count</v>
      </c>
      <c r="N7" s="29">
        <f t="shared" si="5"/>
        <v>0.37</v>
      </c>
      <c r="O7" s="24">
        <f t="shared" si="6"/>
        <v>0.37</v>
      </c>
      <c r="P7" t="s">
        <v>87</v>
      </c>
      <c r="Q7" t="str">
        <f t="shared" si="7"/>
        <v>Aldi</v>
      </c>
    </row>
    <row r="8" spans="1:17" x14ac:dyDescent="0.35">
      <c r="A8" t="s">
        <v>84</v>
      </c>
      <c r="B8" t="s">
        <v>17</v>
      </c>
      <c r="C8" s="17">
        <v>4.43</v>
      </c>
      <c r="D8" s="17">
        <v>24</v>
      </c>
      <c r="E8" s="17" t="str">
        <f t="shared" si="0"/>
        <v>ounces</v>
      </c>
      <c r="F8" s="19">
        <f t="shared" si="1"/>
        <v>0.18</v>
      </c>
      <c r="G8" s="15">
        <v>5.99</v>
      </c>
      <c r="H8" s="15">
        <v>24</v>
      </c>
      <c r="I8" s="15" t="str">
        <f t="shared" si="2"/>
        <v>ounces</v>
      </c>
      <c r="J8" s="18">
        <f t="shared" si="3"/>
        <v>0.25</v>
      </c>
      <c r="K8" s="23">
        <v>1.99</v>
      </c>
      <c r="L8" s="23">
        <v>8</v>
      </c>
      <c r="M8" s="23" t="str">
        <f t="shared" si="4"/>
        <v>ounces</v>
      </c>
      <c r="N8" s="29">
        <f t="shared" si="5"/>
        <v>0.25</v>
      </c>
      <c r="O8" s="24">
        <f t="shared" si="6"/>
        <v>0.18</v>
      </c>
      <c r="P8" t="s">
        <v>85</v>
      </c>
      <c r="Q8" t="str">
        <f t="shared" si="7"/>
        <v>Sam's Club</v>
      </c>
    </row>
    <row r="9" spans="1:17" x14ac:dyDescent="0.35">
      <c r="A9" t="s">
        <v>43</v>
      </c>
      <c r="B9" t="s">
        <v>5</v>
      </c>
      <c r="C9" s="17">
        <v>15.66</v>
      </c>
      <c r="D9" s="17">
        <v>3</v>
      </c>
      <c r="E9" s="17" t="str">
        <f t="shared" si="0"/>
        <v>pound</v>
      </c>
      <c r="F9" s="19">
        <f t="shared" si="1"/>
        <v>5.22</v>
      </c>
      <c r="G9" s="15">
        <v>18.989999999999998</v>
      </c>
      <c r="H9" s="15">
        <v>4</v>
      </c>
      <c r="I9" s="15" t="str">
        <f t="shared" si="2"/>
        <v>pound</v>
      </c>
      <c r="J9" s="18">
        <f t="shared" si="3"/>
        <v>4.75</v>
      </c>
      <c r="K9" s="23">
        <v>4.1900000000000004</v>
      </c>
      <c r="L9" s="23">
        <v>1</v>
      </c>
      <c r="M9" s="23" t="str">
        <f t="shared" si="4"/>
        <v>pound</v>
      </c>
      <c r="N9" s="29">
        <f t="shared" si="5"/>
        <v>4.1900000000000004</v>
      </c>
      <c r="O9" s="24">
        <f t="shared" si="6"/>
        <v>4.1900000000000004</v>
      </c>
      <c r="P9" t="s">
        <v>76</v>
      </c>
      <c r="Q9" t="str">
        <f t="shared" si="7"/>
        <v>Aldi</v>
      </c>
    </row>
    <row r="10" spans="1:17" x14ac:dyDescent="0.35">
      <c r="A10" t="s">
        <v>92</v>
      </c>
      <c r="B10" t="s">
        <v>93</v>
      </c>
      <c r="C10" s="17">
        <v>2.98</v>
      </c>
      <c r="D10" s="17">
        <v>6</v>
      </c>
      <c r="E10" s="17" t="str">
        <f t="shared" si="0"/>
        <v>count</v>
      </c>
      <c r="F10" s="19">
        <f t="shared" si="1"/>
        <v>0.5</v>
      </c>
      <c r="G10" s="15">
        <v>7.99</v>
      </c>
      <c r="H10" s="15">
        <v>12</v>
      </c>
      <c r="I10" s="15" t="str">
        <f t="shared" si="2"/>
        <v>count</v>
      </c>
      <c r="J10" s="18">
        <f t="shared" si="3"/>
        <v>0.67</v>
      </c>
      <c r="K10" s="23">
        <v>1.49</v>
      </c>
      <c r="L10" s="23">
        <v>6</v>
      </c>
      <c r="M10" s="23" t="str">
        <f t="shared" si="4"/>
        <v>count</v>
      </c>
      <c r="N10" s="29">
        <f t="shared" si="5"/>
        <v>0.25</v>
      </c>
      <c r="O10" s="24">
        <f t="shared" si="6"/>
        <v>0.25</v>
      </c>
      <c r="P10" t="s">
        <v>87</v>
      </c>
      <c r="Q10" t="str">
        <f t="shared" si="7"/>
        <v>Aldi</v>
      </c>
    </row>
    <row r="11" spans="1:17" x14ac:dyDescent="0.35">
      <c r="A11" t="s">
        <v>81</v>
      </c>
      <c r="B11" t="s">
        <v>17</v>
      </c>
      <c r="C11" s="17">
        <v>8.2799999999999994</v>
      </c>
      <c r="D11" s="17">
        <v>15</v>
      </c>
      <c r="E11" s="17" t="str">
        <f t="shared" si="0"/>
        <v>pound</v>
      </c>
      <c r="F11" s="19">
        <f t="shared" si="1"/>
        <v>0.55000000000000004</v>
      </c>
      <c r="G11" s="15">
        <v>7.99</v>
      </c>
      <c r="H11" s="15">
        <v>15</v>
      </c>
      <c r="I11" s="15" t="str">
        <f t="shared" si="2"/>
        <v>pound</v>
      </c>
      <c r="J11" s="18">
        <f t="shared" si="3"/>
        <v>0.53</v>
      </c>
      <c r="K11" s="23">
        <v>4.3899999999999997</v>
      </c>
      <c r="L11" s="23">
        <v>10</v>
      </c>
      <c r="M11" s="23" t="str">
        <f t="shared" si="4"/>
        <v>pound</v>
      </c>
      <c r="N11" s="29">
        <f t="shared" si="5"/>
        <v>0.44</v>
      </c>
      <c r="O11" s="24">
        <f t="shared" si="6"/>
        <v>0.44</v>
      </c>
      <c r="P11" t="s">
        <v>76</v>
      </c>
      <c r="Q11" t="str">
        <f t="shared" si="7"/>
        <v>Aldi</v>
      </c>
    </row>
    <row r="12" spans="1:17" x14ac:dyDescent="0.35">
      <c r="A12" t="s">
        <v>161</v>
      </c>
      <c r="B12" t="s">
        <v>15</v>
      </c>
      <c r="C12" s="17">
        <v>7.74</v>
      </c>
      <c r="D12" s="17">
        <v>15</v>
      </c>
      <c r="E12" s="17" t="str">
        <f t="shared" si="0"/>
        <v>pound</v>
      </c>
      <c r="F12" s="19">
        <f t="shared" si="1"/>
        <v>0.52</v>
      </c>
      <c r="G12" s="15">
        <v>6.89</v>
      </c>
      <c r="H12" s="15">
        <v>13.5</v>
      </c>
      <c r="I12" s="15" t="str">
        <f t="shared" si="2"/>
        <v>pound</v>
      </c>
      <c r="J12" s="18">
        <f t="shared" si="3"/>
        <v>0.51</v>
      </c>
      <c r="K12" s="16">
        <v>0.59</v>
      </c>
      <c r="L12" s="23">
        <v>1</v>
      </c>
      <c r="M12" s="23" t="str">
        <f t="shared" si="4"/>
        <v>pound</v>
      </c>
      <c r="N12" s="29">
        <f t="shared" si="5"/>
        <v>0.59</v>
      </c>
      <c r="O12" s="24">
        <f t="shared" si="6"/>
        <v>0.51</v>
      </c>
      <c r="P12" t="s">
        <v>76</v>
      </c>
      <c r="Q12" t="str">
        <f t="shared" si="7"/>
        <v>Costco</v>
      </c>
    </row>
    <row r="13" spans="1:17" x14ac:dyDescent="0.35">
      <c r="A13" t="s">
        <v>44</v>
      </c>
      <c r="B13" t="s">
        <v>17</v>
      </c>
      <c r="C13" s="17">
        <v>1.58</v>
      </c>
      <c r="D13" s="17">
        <v>3</v>
      </c>
      <c r="E13" s="17" t="str">
        <f t="shared" si="0"/>
        <v>pound</v>
      </c>
      <c r="F13" s="19">
        <f t="shared" si="1"/>
        <v>0.53</v>
      </c>
      <c r="G13" s="15">
        <v>2.2799999999999998</v>
      </c>
      <c r="H13" s="15">
        <v>3</v>
      </c>
      <c r="I13" s="15" t="str">
        <f t="shared" si="2"/>
        <v>pound</v>
      </c>
      <c r="J13" s="18">
        <f t="shared" si="3"/>
        <v>0.76</v>
      </c>
      <c r="K13" s="23">
        <v>0.47</v>
      </c>
      <c r="L13" s="23">
        <v>1</v>
      </c>
      <c r="M13" s="23" t="str">
        <f t="shared" si="4"/>
        <v>pound</v>
      </c>
      <c r="N13" s="29">
        <f t="shared" si="5"/>
        <v>0.47</v>
      </c>
      <c r="O13" s="24">
        <f t="shared" si="6"/>
        <v>0.47</v>
      </c>
      <c r="P13" t="s">
        <v>76</v>
      </c>
      <c r="Q13" t="str">
        <f t="shared" si="7"/>
        <v>Aldi</v>
      </c>
    </row>
    <row r="14" spans="1:17" x14ac:dyDescent="0.35">
      <c r="A14" t="s">
        <v>94</v>
      </c>
      <c r="B14" t="s">
        <v>5</v>
      </c>
      <c r="C14" s="17">
        <v>5.48</v>
      </c>
      <c r="D14" s="17">
        <v>1</v>
      </c>
      <c r="E14" s="17" t="str">
        <f t="shared" si="0"/>
        <v>pound</v>
      </c>
      <c r="F14" s="19">
        <f t="shared" si="1"/>
        <v>5.48</v>
      </c>
      <c r="G14" s="15">
        <v>5.49</v>
      </c>
      <c r="H14" s="15">
        <v>1</v>
      </c>
      <c r="I14" s="15" t="str">
        <f t="shared" si="2"/>
        <v>pound</v>
      </c>
      <c r="J14" s="18">
        <f t="shared" si="3"/>
        <v>5.49</v>
      </c>
      <c r="K14" s="23" t="s">
        <v>205</v>
      </c>
      <c r="M14" s="23" t="str">
        <f t="shared" si="4"/>
        <v>pound</v>
      </c>
      <c r="N14" s="29" t="e">
        <f t="shared" si="5"/>
        <v>#VALUE!</v>
      </c>
      <c r="O14" s="24">
        <f t="shared" si="6"/>
        <v>5.48</v>
      </c>
      <c r="P14" t="s">
        <v>76</v>
      </c>
      <c r="Q14" t="str">
        <f t="shared" si="7"/>
        <v>Sam's Club</v>
      </c>
    </row>
    <row r="15" spans="1:17" x14ac:dyDescent="0.35">
      <c r="A15" t="s">
        <v>25</v>
      </c>
      <c r="B15" t="s">
        <v>22</v>
      </c>
      <c r="C15" s="17">
        <v>4.88</v>
      </c>
      <c r="D15" s="17">
        <v>6</v>
      </c>
      <c r="E15" s="17" t="str">
        <f t="shared" si="0"/>
        <v>cans</v>
      </c>
      <c r="F15" s="19">
        <f t="shared" si="1"/>
        <v>0.81</v>
      </c>
      <c r="I15" s="15" t="str">
        <f t="shared" si="2"/>
        <v>cans</v>
      </c>
      <c r="J15" s="18" t="e">
        <f t="shared" si="3"/>
        <v>#DIV/0!</v>
      </c>
      <c r="K15" s="23">
        <v>0.57999999999999996</v>
      </c>
      <c r="L15" s="23">
        <v>1</v>
      </c>
      <c r="M15" s="23" t="str">
        <f t="shared" si="4"/>
        <v>cans</v>
      </c>
      <c r="N15" s="29">
        <f t="shared" si="5"/>
        <v>0.57999999999999996</v>
      </c>
      <c r="O15" s="24">
        <f t="shared" si="6"/>
        <v>0.57999999999999996</v>
      </c>
      <c r="P15" t="s">
        <v>175</v>
      </c>
      <c r="Q15" t="str">
        <f t="shared" si="7"/>
        <v>Aldi</v>
      </c>
    </row>
    <row r="16" spans="1:17" x14ac:dyDescent="0.35">
      <c r="A16" t="s">
        <v>13</v>
      </c>
      <c r="B16" t="s">
        <v>11</v>
      </c>
      <c r="C16" s="17">
        <v>5.73</v>
      </c>
      <c r="D16" s="17">
        <v>2</v>
      </c>
      <c r="E16" s="17" t="str">
        <f t="shared" si="0"/>
        <v>pounds</v>
      </c>
      <c r="F16" s="19">
        <f t="shared" si="1"/>
        <v>2.87</v>
      </c>
      <c r="G16" s="15">
        <v>4.99</v>
      </c>
      <c r="H16" s="15">
        <v>2</v>
      </c>
      <c r="I16" s="15" t="str">
        <f t="shared" si="2"/>
        <v>pounds</v>
      </c>
      <c r="J16" s="18">
        <f t="shared" si="3"/>
        <v>2.5</v>
      </c>
      <c r="K16" s="23">
        <v>1.75</v>
      </c>
      <c r="L16" s="23">
        <v>0.5</v>
      </c>
      <c r="M16" s="23" t="str">
        <f t="shared" si="4"/>
        <v>pounds</v>
      </c>
      <c r="N16" s="29">
        <f t="shared" si="5"/>
        <v>3.5</v>
      </c>
      <c r="O16" s="24">
        <f t="shared" si="6"/>
        <v>2.5</v>
      </c>
      <c r="P16" t="s">
        <v>91</v>
      </c>
      <c r="Q16" t="str">
        <f t="shared" si="7"/>
        <v>Costco</v>
      </c>
    </row>
    <row r="17" spans="1:17" x14ac:dyDescent="0.35">
      <c r="A17" t="s">
        <v>147</v>
      </c>
      <c r="B17" t="s">
        <v>11</v>
      </c>
      <c r="C17" s="17">
        <v>5.47</v>
      </c>
      <c r="D17" s="17">
        <v>2</v>
      </c>
      <c r="E17" s="17" t="str">
        <f t="shared" si="0"/>
        <v>pounds</v>
      </c>
      <c r="F17" s="19">
        <f t="shared" si="1"/>
        <v>2.74</v>
      </c>
      <c r="G17" s="15">
        <v>5.39</v>
      </c>
      <c r="H17" s="15">
        <v>2</v>
      </c>
      <c r="I17" s="15" t="str">
        <f t="shared" si="2"/>
        <v>pounds</v>
      </c>
      <c r="J17" s="18">
        <f t="shared" si="3"/>
        <v>2.7</v>
      </c>
      <c r="K17" s="23">
        <v>1.75</v>
      </c>
      <c r="L17" s="23">
        <v>0.5</v>
      </c>
      <c r="M17" s="23" t="str">
        <f t="shared" si="4"/>
        <v>pounds</v>
      </c>
      <c r="N17" s="29">
        <f t="shared" si="5"/>
        <v>3.5</v>
      </c>
      <c r="O17" s="24">
        <f t="shared" si="6"/>
        <v>2.7</v>
      </c>
      <c r="P17" t="s">
        <v>91</v>
      </c>
      <c r="Q17" t="str">
        <f t="shared" si="7"/>
        <v>Costco</v>
      </c>
    </row>
    <row r="18" spans="1:17" x14ac:dyDescent="0.35">
      <c r="A18" t="s">
        <v>103</v>
      </c>
      <c r="B18" t="s">
        <v>11</v>
      </c>
      <c r="C18" s="17">
        <v>5.98</v>
      </c>
      <c r="D18" s="17">
        <v>16</v>
      </c>
      <c r="E18" s="17" t="str">
        <f t="shared" si="0"/>
        <v>ounces</v>
      </c>
      <c r="F18" s="19">
        <f t="shared" si="1"/>
        <v>0.37</v>
      </c>
      <c r="G18" s="15">
        <v>12.49</v>
      </c>
      <c r="H18" s="15">
        <v>16</v>
      </c>
      <c r="I18" s="15" t="str">
        <f t="shared" si="2"/>
        <v>ounces</v>
      </c>
      <c r="J18" s="18">
        <f t="shared" si="3"/>
        <v>0.78</v>
      </c>
      <c r="K18" s="23">
        <v>3.29</v>
      </c>
      <c r="L18" s="23">
        <v>0.5</v>
      </c>
      <c r="M18" s="23" t="str">
        <f t="shared" si="4"/>
        <v>ounces</v>
      </c>
      <c r="N18" s="29">
        <f t="shared" si="5"/>
        <v>6.58</v>
      </c>
      <c r="O18" s="24">
        <f t="shared" si="6"/>
        <v>0.37</v>
      </c>
      <c r="P18" t="s">
        <v>85</v>
      </c>
      <c r="Q18" t="str">
        <f t="shared" si="7"/>
        <v>Sam's Club</v>
      </c>
    </row>
    <row r="19" spans="1:17" x14ac:dyDescent="0.35">
      <c r="A19" t="s">
        <v>98</v>
      </c>
      <c r="B19" t="s">
        <v>5</v>
      </c>
      <c r="C19" s="17">
        <v>1.96</v>
      </c>
      <c r="D19" s="17">
        <v>1</v>
      </c>
      <c r="E19" s="17" t="str">
        <f t="shared" si="0"/>
        <v>pound</v>
      </c>
      <c r="F19" s="19">
        <f t="shared" si="1"/>
        <v>1.96</v>
      </c>
      <c r="G19" s="15">
        <v>1.99</v>
      </c>
      <c r="H19" s="15">
        <v>1</v>
      </c>
      <c r="I19" s="15" t="str">
        <f t="shared" si="2"/>
        <v>pound</v>
      </c>
      <c r="J19" s="18">
        <f t="shared" si="3"/>
        <v>1.99</v>
      </c>
      <c r="K19" s="23" t="s">
        <v>205</v>
      </c>
      <c r="M19" s="23" t="str">
        <f t="shared" si="4"/>
        <v>pound</v>
      </c>
      <c r="N19" s="29" t="e">
        <f t="shared" si="5"/>
        <v>#VALUE!</v>
      </c>
      <c r="O19" s="24">
        <f t="shared" si="6"/>
        <v>1.96</v>
      </c>
      <c r="P19" t="s">
        <v>76</v>
      </c>
      <c r="Q19" t="str">
        <f t="shared" si="7"/>
        <v>Sam's Club</v>
      </c>
    </row>
    <row r="20" spans="1:17" x14ac:dyDescent="0.35">
      <c r="A20" t="s">
        <v>207</v>
      </c>
      <c r="B20" t="s">
        <v>93</v>
      </c>
      <c r="C20" s="17">
        <v>3.64</v>
      </c>
      <c r="D20" s="17">
        <v>48</v>
      </c>
      <c r="E20" s="17" t="str">
        <f t="shared" si="0"/>
        <v>ounces</v>
      </c>
      <c r="F20" s="19">
        <f t="shared" si="1"/>
        <v>0.08</v>
      </c>
      <c r="G20" s="15">
        <v>2.99</v>
      </c>
      <c r="H20" s="15">
        <v>20</v>
      </c>
      <c r="I20" s="15" t="str">
        <f t="shared" si="2"/>
        <v>ounces</v>
      </c>
      <c r="J20" s="18">
        <f t="shared" si="3"/>
        <v>0.15</v>
      </c>
      <c r="K20" s="23">
        <v>1.19</v>
      </c>
      <c r="L20" s="23">
        <v>20</v>
      </c>
      <c r="M20" s="23" t="str">
        <f t="shared" si="4"/>
        <v>ounces</v>
      </c>
      <c r="N20" s="29">
        <f t="shared" si="5"/>
        <v>0.06</v>
      </c>
      <c r="O20" s="24">
        <f t="shared" si="6"/>
        <v>0.06</v>
      </c>
      <c r="P20" t="s">
        <v>85</v>
      </c>
      <c r="Q20" t="str">
        <f t="shared" si="7"/>
        <v>Aldi</v>
      </c>
    </row>
    <row r="21" spans="1:17" x14ac:dyDescent="0.35">
      <c r="A21" t="s">
        <v>203</v>
      </c>
      <c r="B21" t="s">
        <v>96</v>
      </c>
      <c r="C21" s="17">
        <v>10.94</v>
      </c>
      <c r="D21" s="17">
        <v>4</v>
      </c>
      <c r="E21" s="17" t="str">
        <f t="shared" si="0"/>
        <v>pound</v>
      </c>
      <c r="F21" s="19">
        <f t="shared" si="1"/>
        <v>2.74</v>
      </c>
      <c r="I21" s="15" t="str">
        <f t="shared" si="2"/>
        <v>pound</v>
      </c>
      <c r="J21" s="18" t="e">
        <f t="shared" si="3"/>
        <v>#DIV/0!</v>
      </c>
      <c r="K21" s="23">
        <v>6.89</v>
      </c>
      <c r="L21" s="23">
        <v>2</v>
      </c>
      <c r="M21" s="23" t="str">
        <f t="shared" si="4"/>
        <v>pound</v>
      </c>
      <c r="N21" s="29">
        <f t="shared" si="5"/>
        <v>3.45</v>
      </c>
      <c r="O21" s="24">
        <f t="shared" si="6"/>
        <v>2.74</v>
      </c>
      <c r="P21" t="s">
        <v>76</v>
      </c>
      <c r="Q21" t="str">
        <f t="shared" si="7"/>
        <v>Sam's Club</v>
      </c>
    </row>
    <row r="22" spans="1:17" x14ac:dyDescent="0.35">
      <c r="A22" t="s">
        <v>89</v>
      </c>
      <c r="B22" t="s">
        <v>17</v>
      </c>
      <c r="C22" s="17">
        <v>3.98</v>
      </c>
      <c r="D22" s="17">
        <v>2</v>
      </c>
      <c r="E22" s="17" t="str">
        <f t="shared" si="0"/>
        <v>pound</v>
      </c>
      <c r="F22" s="19">
        <f t="shared" si="1"/>
        <v>1.99</v>
      </c>
      <c r="G22" s="15">
        <v>6.99</v>
      </c>
      <c r="H22" s="15">
        <v>3</v>
      </c>
      <c r="I22" s="15" t="str">
        <f t="shared" si="2"/>
        <v>pound</v>
      </c>
      <c r="J22" s="18">
        <f t="shared" si="3"/>
        <v>2.33</v>
      </c>
      <c r="K22" s="25">
        <v>1.05</v>
      </c>
      <c r="L22" s="23">
        <v>1</v>
      </c>
      <c r="M22" s="23" t="str">
        <f t="shared" si="4"/>
        <v>pound</v>
      </c>
      <c r="N22" s="29">
        <f t="shared" si="5"/>
        <v>1.05</v>
      </c>
      <c r="O22" s="24">
        <f t="shared" si="6"/>
        <v>1.05</v>
      </c>
      <c r="P22" t="s">
        <v>76</v>
      </c>
      <c r="Q22" t="str">
        <f t="shared" si="7"/>
        <v>Aldi</v>
      </c>
    </row>
    <row r="23" spans="1:17" x14ac:dyDescent="0.35">
      <c r="A23" t="s">
        <v>37</v>
      </c>
      <c r="B23" t="s">
        <v>15</v>
      </c>
      <c r="C23" s="17">
        <v>5.38</v>
      </c>
      <c r="D23" s="17">
        <v>7</v>
      </c>
      <c r="E23" s="17" t="str">
        <f t="shared" si="0"/>
        <v>pound</v>
      </c>
      <c r="F23" s="19">
        <f t="shared" si="1"/>
        <v>0.77</v>
      </c>
      <c r="G23" s="15">
        <v>4.59</v>
      </c>
      <c r="H23" s="15">
        <v>7</v>
      </c>
      <c r="I23" s="15" t="str">
        <f t="shared" si="2"/>
        <v>pound</v>
      </c>
      <c r="J23" s="18">
        <f t="shared" si="3"/>
        <v>0.66</v>
      </c>
      <c r="K23" s="23">
        <v>1.39</v>
      </c>
      <c r="L23" s="23">
        <v>2</v>
      </c>
      <c r="M23" s="23" t="str">
        <f t="shared" si="4"/>
        <v>pound</v>
      </c>
      <c r="N23" s="29">
        <f t="shared" si="5"/>
        <v>0.7</v>
      </c>
      <c r="O23" s="24">
        <f t="shared" si="6"/>
        <v>0.66</v>
      </c>
      <c r="P23" t="s">
        <v>76</v>
      </c>
      <c r="Q23" t="str">
        <f t="shared" si="7"/>
        <v>Costco</v>
      </c>
    </row>
    <row r="24" spans="1:17" x14ac:dyDescent="0.35">
      <c r="A24" t="s">
        <v>90</v>
      </c>
      <c r="B24" t="s">
        <v>17</v>
      </c>
      <c r="C24" s="17" t="s">
        <v>205</v>
      </c>
      <c r="D24" s="17" t="s">
        <v>205</v>
      </c>
      <c r="E24" s="17" t="str">
        <f t="shared" si="0"/>
        <v>pound</v>
      </c>
      <c r="F24" s="19" t="e">
        <f t="shared" si="1"/>
        <v>#VALUE!</v>
      </c>
      <c r="G24" s="15">
        <v>6.49</v>
      </c>
      <c r="H24" s="15">
        <v>2</v>
      </c>
      <c r="I24" s="15" t="str">
        <f t="shared" si="2"/>
        <v>pound</v>
      </c>
      <c r="J24" s="18">
        <f t="shared" si="3"/>
        <v>3.25</v>
      </c>
      <c r="K24" s="25">
        <v>2.4500000000000002</v>
      </c>
      <c r="L24" s="23">
        <v>1</v>
      </c>
      <c r="M24" s="23" t="str">
        <f t="shared" si="4"/>
        <v>pound</v>
      </c>
      <c r="N24" s="29">
        <f t="shared" si="5"/>
        <v>2.4500000000000002</v>
      </c>
      <c r="O24" s="24">
        <f t="shared" si="6"/>
        <v>2.4500000000000002</v>
      </c>
      <c r="P24" t="s">
        <v>76</v>
      </c>
      <c r="Q24" t="str">
        <f t="shared" si="7"/>
        <v>Aldi</v>
      </c>
    </row>
    <row r="25" spans="1:17" x14ac:dyDescent="0.35">
      <c r="A25" t="s">
        <v>169</v>
      </c>
      <c r="B25" t="s">
        <v>17</v>
      </c>
      <c r="C25" s="17">
        <v>3.72</v>
      </c>
      <c r="D25" s="17">
        <v>16.899999999999999</v>
      </c>
      <c r="E25" s="17" t="str">
        <f t="shared" si="0"/>
        <v>ounces</v>
      </c>
      <c r="F25" s="19">
        <f t="shared" si="1"/>
        <v>0.22</v>
      </c>
      <c r="G25" s="15">
        <v>8.99</v>
      </c>
      <c r="H25" s="15">
        <v>24</v>
      </c>
      <c r="I25" s="15" t="str">
        <f t="shared" si="2"/>
        <v>ounces</v>
      </c>
      <c r="J25" s="18">
        <f t="shared" si="3"/>
        <v>0.37</v>
      </c>
      <c r="K25" s="23">
        <v>2.59</v>
      </c>
      <c r="L25" s="23">
        <v>10.5</v>
      </c>
      <c r="M25" s="23" t="str">
        <f t="shared" si="4"/>
        <v>ounces</v>
      </c>
      <c r="N25" s="29">
        <f t="shared" si="5"/>
        <v>0.25</v>
      </c>
      <c r="O25" s="24">
        <f t="shared" si="6"/>
        <v>0.22</v>
      </c>
      <c r="P25" t="s">
        <v>85</v>
      </c>
      <c r="Q25" t="str">
        <f t="shared" si="7"/>
        <v>Sam's Club</v>
      </c>
    </row>
    <row r="26" spans="1:17" x14ac:dyDescent="0.35">
      <c r="A26" t="s">
        <v>174</v>
      </c>
      <c r="B26" t="s">
        <v>175</v>
      </c>
      <c r="C26" s="17">
        <v>6.48</v>
      </c>
      <c r="D26" s="17">
        <v>8</v>
      </c>
      <c r="E26" s="17" t="str">
        <f t="shared" si="0"/>
        <v>cans</v>
      </c>
      <c r="F26" s="19">
        <f t="shared" si="1"/>
        <v>0.81</v>
      </c>
      <c r="G26" s="15">
        <v>9.49</v>
      </c>
      <c r="H26" s="15">
        <v>12</v>
      </c>
      <c r="I26" s="15" t="str">
        <f t="shared" si="2"/>
        <v>cans</v>
      </c>
      <c r="J26" s="18">
        <f t="shared" si="3"/>
        <v>0.79</v>
      </c>
      <c r="K26" s="23">
        <v>0.47</v>
      </c>
      <c r="L26" s="23">
        <v>1</v>
      </c>
      <c r="M26" s="23" t="str">
        <f t="shared" si="4"/>
        <v>cans</v>
      </c>
      <c r="N26" s="29">
        <f t="shared" si="5"/>
        <v>0.47</v>
      </c>
      <c r="O26" s="24">
        <f t="shared" si="6"/>
        <v>0.47</v>
      </c>
      <c r="P26" t="s">
        <v>175</v>
      </c>
      <c r="Q26" t="str">
        <f t="shared" si="7"/>
        <v>Aldi</v>
      </c>
    </row>
    <row r="27" spans="1:17" x14ac:dyDescent="0.35">
      <c r="A27" t="s">
        <v>88</v>
      </c>
      <c r="B27" t="s">
        <v>17</v>
      </c>
      <c r="C27" s="17">
        <v>3.98</v>
      </c>
      <c r="D27" s="17">
        <v>5</v>
      </c>
      <c r="E27" s="17" t="str">
        <f t="shared" si="0"/>
        <v>pound</v>
      </c>
      <c r="F27" s="19">
        <f t="shared" si="1"/>
        <v>0.8</v>
      </c>
      <c r="G27" s="15">
        <v>5.29</v>
      </c>
      <c r="H27" s="15">
        <v>4</v>
      </c>
      <c r="I27" s="15" t="str">
        <f t="shared" si="2"/>
        <v>pound</v>
      </c>
      <c r="J27" s="18">
        <f t="shared" si="3"/>
        <v>1.32</v>
      </c>
      <c r="K27" s="23">
        <v>1.79</v>
      </c>
      <c r="L27" s="23">
        <v>2</v>
      </c>
      <c r="M27" s="23" t="str">
        <f t="shared" si="4"/>
        <v>pound</v>
      </c>
      <c r="N27" s="29">
        <f t="shared" si="5"/>
        <v>0.9</v>
      </c>
      <c r="O27" s="24">
        <f t="shared" si="6"/>
        <v>0.8</v>
      </c>
      <c r="P27" t="s">
        <v>76</v>
      </c>
      <c r="Q27" t="str">
        <f t="shared" si="7"/>
        <v>Sam's Club</v>
      </c>
    </row>
    <row r="28" spans="1:17" x14ac:dyDescent="0.35">
      <c r="A28" t="s">
        <v>189</v>
      </c>
      <c r="B28" t="s">
        <v>151</v>
      </c>
      <c r="C28" s="17">
        <v>11.98</v>
      </c>
      <c r="D28" s="17">
        <v>33</v>
      </c>
      <c r="E28" s="17" t="str">
        <f t="shared" si="0"/>
        <v>ounces</v>
      </c>
      <c r="F28" s="19">
        <f t="shared" si="1"/>
        <v>0.36</v>
      </c>
      <c r="G28" s="15">
        <v>14.49</v>
      </c>
      <c r="H28" s="15">
        <v>40</v>
      </c>
      <c r="I28" s="15" t="str">
        <f t="shared" si="2"/>
        <v>ounces</v>
      </c>
      <c r="J28" s="18">
        <f t="shared" si="3"/>
        <v>0.36</v>
      </c>
      <c r="K28" s="23">
        <v>4.49</v>
      </c>
      <c r="L28" s="23">
        <v>12</v>
      </c>
      <c r="M28" s="23" t="str">
        <f t="shared" si="4"/>
        <v>ounces</v>
      </c>
      <c r="N28" s="29">
        <f t="shared" si="5"/>
        <v>0.37</v>
      </c>
      <c r="O28" s="24">
        <f t="shared" si="6"/>
        <v>0.36</v>
      </c>
      <c r="P28" t="s">
        <v>85</v>
      </c>
      <c r="Q28" t="str">
        <f t="shared" si="7"/>
        <v>Costco</v>
      </c>
    </row>
    <row r="29" spans="1:17" x14ac:dyDescent="0.35">
      <c r="A29" t="s">
        <v>132</v>
      </c>
      <c r="B29" t="s">
        <v>131</v>
      </c>
      <c r="C29" s="17">
        <v>19.82</v>
      </c>
      <c r="D29" s="17">
        <v>32</v>
      </c>
      <c r="E29" s="17" t="str">
        <f t="shared" si="0"/>
        <v>pounds</v>
      </c>
      <c r="F29" s="19">
        <f t="shared" si="1"/>
        <v>0.62</v>
      </c>
      <c r="G29" s="15">
        <v>19.989999999999998</v>
      </c>
      <c r="H29" s="15">
        <v>25</v>
      </c>
      <c r="I29" s="15" t="str">
        <f t="shared" si="2"/>
        <v>pounds</v>
      </c>
      <c r="J29" s="18">
        <f t="shared" si="3"/>
        <v>0.8</v>
      </c>
      <c r="K29" s="23">
        <v>8.39</v>
      </c>
      <c r="L29" s="23">
        <v>16</v>
      </c>
      <c r="M29" s="23" t="str">
        <f t="shared" si="4"/>
        <v>pounds</v>
      </c>
      <c r="N29" s="29">
        <f t="shared" si="5"/>
        <v>0.52</v>
      </c>
      <c r="O29" s="24">
        <f t="shared" si="6"/>
        <v>0.52</v>
      </c>
      <c r="P29" t="s">
        <v>91</v>
      </c>
      <c r="Q29" t="str">
        <f t="shared" si="7"/>
        <v>Aldi</v>
      </c>
    </row>
    <row r="30" spans="1:17" x14ac:dyDescent="0.35">
      <c r="A30" t="s">
        <v>182</v>
      </c>
      <c r="B30" t="s">
        <v>73</v>
      </c>
      <c r="C30" s="17">
        <v>8.2799999999999994</v>
      </c>
      <c r="D30" s="17">
        <f>16*3</f>
        <v>48</v>
      </c>
      <c r="E30" s="17" t="str">
        <f t="shared" si="0"/>
        <v>ounces</v>
      </c>
      <c r="F30" s="19">
        <f t="shared" si="1"/>
        <v>0.17</v>
      </c>
      <c r="G30" s="15">
        <v>7.99</v>
      </c>
      <c r="H30" s="15">
        <v>48</v>
      </c>
      <c r="I30" s="15" t="str">
        <f t="shared" si="2"/>
        <v>ounces</v>
      </c>
      <c r="J30" s="18">
        <f t="shared" si="3"/>
        <v>0.17</v>
      </c>
      <c r="K30" s="23">
        <v>1.95</v>
      </c>
      <c r="L30" s="23">
        <v>7</v>
      </c>
      <c r="M30" s="23" t="str">
        <f t="shared" si="4"/>
        <v>ounces</v>
      </c>
      <c r="N30" s="29">
        <f t="shared" si="5"/>
        <v>0.28000000000000003</v>
      </c>
      <c r="O30" s="24">
        <f t="shared" si="6"/>
        <v>0.17</v>
      </c>
      <c r="P30" t="s">
        <v>85</v>
      </c>
      <c r="Q30" t="str">
        <f t="shared" si="7"/>
        <v>Costco</v>
      </c>
    </row>
    <row r="31" spans="1:17" x14ac:dyDescent="0.35">
      <c r="A31" t="s">
        <v>4</v>
      </c>
      <c r="B31" t="s">
        <v>5</v>
      </c>
      <c r="C31" s="17">
        <v>1.99</v>
      </c>
      <c r="D31" s="17">
        <v>1</v>
      </c>
      <c r="E31" s="17" t="str">
        <f t="shared" si="0"/>
        <v>pound</v>
      </c>
      <c r="F31" s="19">
        <f t="shared" si="1"/>
        <v>1.99</v>
      </c>
      <c r="G31" s="15">
        <v>2.99</v>
      </c>
      <c r="H31" s="15">
        <v>1</v>
      </c>
      <c r="I31" s="15" t="str">
        <f t="shared" si="2"/>
        <v>pound</v>
      </c>
      <c r="J31" s="18">
        <f t="shared" si="3"/>
        <v>2.99</v>
      </c>
      <c r="K31" s="23">
        <v>1.99</v>
      </c>
      <c r="L31" s="23">
        <v>1</v>
      </c>
      <c r="M31" s="23" t="str">
        <f t="shared" si="4"/>
        <v>pound</v>
      </c>
      <c r="N31" s="29">
        <f t="shared" si="5"/>
        <v>1.99</v>
      </c>
      <c r="O31" s="24">
        <f t="shared" si="6"/>
        <v>1.99</v>
      </c>
      <c r="P31" t="s">
        <v>76</v>
      </c>
      <c r="Q31" t="str">
        <f t="shared" si="7"/>
        <v>Aldi</v>
      </c>
    </row>
    <row r="32" spans="1:17" x14ac:dyDescent="0.35">
      <c r="A32" t="s">
        <v>180</v>
      </c>
      <c r="B32" t="s">
        <v>175</v>
      </c>
      <c r="C32" s="17">
        <v>5.53</v>
      </c>
      <c r="D32" s="17">
        <f>32*6</f>
        <v>192</v>
      </c>
      <c r="E32" s="17" t="str">
        <f t="shared" si="0"/>
        <v>ounces</v>
      </c>
      <c r="F32" s="19">
        <f t="shared" si="1"/>
        <v>0.03</v>
      </c>
      <c r="G32" s="15">
        <v>6.99</v>
      </c>
      <c r="H32" s="15">
        <f>12*14.5</f>
        <v>174</v>
      </c>
      <c r="I32" s="15" t="str">
        <f t="shared" si="2"/>
        <v>ounces</v>
      </c>
      <c r="J32" s="18">
        <f t="shared" si="3"/>
        <v>0.04</v>
      </c>
      <c r="K32" s="25">
        <v>1.35</v>
      </c>
      <c r="L32" s="23">
        <v>32</v>
      </c>
      <c r="M32" s="23" t="str">
        <f t="shared" si="4"/>
        <v>ounces</v>
      </c>
      <c r="N32" s="29">
        <f t="shared" si="5"/>
        <v>0.04</v>
      </c>
      <c r="O32" s="24">
        <f t="shared" si="6"/>
        <v>0.03</v>
      </c>
      <c r="P32" t="s">
        <v>85</v>
      </c>
      <c r="Q32" t="str">
        <f t="shared" si="7"/>
        <v>Sam's Club</v>
      </c>
    </row>
    <row r="33" spans="1:17" x14ac:dyDescent="0.35">
      <c r="A33" t="s">
        <v>134</v>
      </c>
      <c r="B33" t="s">
        <v>28</v>
      </c>
      <c r="C33" s="17">
        <v>12.98</v>
      </c>
      <c r="D33" s="17">
        <v>4</v>
      </c>
      <c r="E33" s="17" t="str">
        <f t="shared" si="0"/>
        <v>pounds</v>
      </c>
      <c r="F33" s="19">
        <f t="shared" si="1"/>
        <v>3.25</v>
      </c>
      <c r="G33" s="15">
        <v>12.79</v>
      </c>
      <c r="H33" s="15">
        <v>5</v>
      </c>
      <c r="I33" s="15" t="str">
        <f t="shared" si="2"/>
        <v>pounds</v>
      </c>
      <c r="J33" s="18">
        <f t="shared" si="3"/>
        <v>2.56</v>
      </c>
      <c r="K33" s="23" t="s">
        <v>205</v>
      </c>
      <c r="M33" s="23" t="str">
        <f t="shared" si="4"/>
        <v>pounds</v>
      </c>
      <c r="N33" s="29" t="e">
        <f t="shared" si="5"/>
        <v>#VALUE!</v>
      </c>
      <c r="O33" s="24">
        <f t="shared" si="6"/>
        <v>2.56</v>
      </c>
      <c r="P33" t="s">
        <v>91</v>
      </c>
      <c r="Q33" t="str">
        <f t="shared" si="7"/>
        <v>Costco</v>
      </c>
    </row>
    <row r="34" spans="1:17" x14ac:dyDescent="0.35">
      <c r="A34" t="s">
        <v>196</v>
      </c>
      <c r="B34" t="s">
        <v>73</v>
      </c>
      <c r="C34" s="17">
        <v>7.98</v>
      </c>
      <c r="D34" s="17">
        <v>20</v>
      </c>
      <c r="E34" s="17" t="str">
        <f t="shared" si="0"/>
        <v>ounces</v>
      </c>
      <c r="F34" s="19">
        <f t="shared" si="1"/>
        <v>0.4</v>
      </c>
      <c r="I34" s="15" t="str">
        <f t="shared" si="2"/>
        <v>ounces</v>
      </c>
      <c r="J34" s="18" t="e">
        <f t="shared" si="3"/>
        <v>#DIV/0!</v>
      </c>
      <c r="K34" s="23">
        <v>0.95</v>
      </c>
      <c r="L34" s="23">
        <v>2.5</v>
      </c>
      <c r="M34" s="23" t="str">
        <f t="shared" si="4"/>
        <v>ounces</v>
      </c>
      <c r="N34" s="29">
        <f t="shared" si="5"/>
        <v>0.38</v>
      </c>
      <c r="O34" s="24">
        <f t="shared" ref="O34:O65" si="8">MIN(IFERROR(F34,N34),IFERROR(J34,F34),IFERROR(N34,J34))</f>
        <v>0.38</v>
      </c>
      <c r="P34" t="s">
        <v>85</v>
      </c>
      <c r="Q34" t="str">
        <f t="shared" ref="Q34:Q65" si="9">IF(O34=IFERROR(N34,9999),$K$1,IF(O34=IFERROR(J34,9999),$G$1,$C$1))</f>
        <v>Aldi</v>
      </c>
    </row>
    <row r="35" spans="1:17" x14ac:dyDescent="0.35">
      <c r="A35" t="s">
        <v>95</v>
      </c>
      <c r="B35" t="s">
        <v>96</v>
      </c>
      <c r="C35" s="17">
        <v>4.9800000000000004</v>
      </c>
      <c r="D35" s="17">
        <v>1</v>
      </c>
      <c r="E35" s="17" t="str">
        <f t="shared" si="0"/>
        <v>pound</v>
      </c>
      <c r="F35" s="19">
        <f t="shared" si="1"/>
        <v>4.9800000000000004</v>
      </c>
      <c r="G35" s="15">
        <v>5.49</v>
      </c>
      <c r="H35" s="15">
        <v>1</v>
      </c>
      <c r="I35" s="15" t="str">
        <f t="shared" si="2"/>
        <v>pound</v>
      </c>
      <c r="J35" s="18">
        <f t="shared" si="3"/>
        <v>5.49</v>
      </c>
      <c r="K35" s="23">
        <v>4.99</v>
      </c>
      <c r="L35" s="23">
        <v>1</v>
      </c>
      <c r="M35" s="23" t="str">
        <f t="shared" si="4"/>
        <v>pound</v>
      </c>
      <c r="N35" s="29">
        <f t="shared" si="5"/>
        <v>4.99</v>
      </c>
      <c r="O35" s="24">
        <f t="shared" si="8"/>
        <v>4.9800000000000004</v>
      </c>
      <c r="P35" t="s">
        <v>76</v>
      </c>
      <c r="Q35" t="str">
        <f t="shared" si="9"/>
        <v>Sam's Club</v>
      </c>
    </row>
    <row r="36" spans="1:17" x14ac:dyDescent="0.35">
      <c r="A36" t="s">
        <v>187</v>
      </c>
      <c r="B36" t="s">
        <v>73</v>
      </c>
      <c r="C36" s="17">
        <v>18.16</v>
      </c>
      <c r="D36" s="17">
        <v>24</v>
      </c>
      <c r="E36" s="17" t="str">
        <f t="shared" si="0"/>
        <v>count</v>
      </c>
      <c r="F36" s="19">
        <f t="shared" si="1"/>
        <v>0.76</v>
      </c>
      <c r="G36" s="15">
        <v>19.59</v>
      </c>
      <c r="H36" s="15">
        <v>26</v>
      </c>
      <c r="I36" s="15" t="str">
        <f t="shared" si="2"/>
        <v>count</v>
      </c>
      <c r="J36" s="18">
        <f t="shared" si="3"/>
        <v>0.75</v>
      </c>
      <c r="K36" s="23" t="s">
        <v>205</v>
      </c>
      <c r="M36" s="23" t="str">
        <f t="shared" si="4"/>
        <v>count</v>
      </c>
      <c r="N36" s="29" t="e">
        <f t="shared" si="5"/>
        <v>#VALUE!</v>
      </c>
      <c r="O36" s="24">
        <f t="shared" si="8"/>
        <v>0.75</v>
      </c>
      <c r="P36" t="s">
        <v>87</v>
      </c>
      <c r="Q36" t="str">
        <f t="shared" si="9"/>
        <v>Costco</v>
      </c>
    </row>
    <row r="37" spans="1:17" x14ac:dyDescent="0.35">
      <c r="A37" t="s">
        <v>177</v>
      </c>
      <c r="B37" t="s">
        <v>120</v>
      </c>
      <c r="C37" s="17">
        <v>13.82</v>
      </c>
      <c r="D37" s="17">
        <v>35</v>
      </c>
      <c r="E37" s="17" t="str">
        <f t="shared" si="0"/>
        <v>count</v>
      </c>
      <c r="F37" s="19">
        <f t="shared" si="1"/>
        <v>0.39</v>
      </c>
      <c r="G37" s="15">
        <v>13.69</v>
      </c>
      <c r="H37" s="15">
        <v>35</v>
      </c>
      <c r="I37" s="15" t="str">
        <f t="shared" si="2"/>
        <v>count</v>
      </c>
      <c r="J37" s="18">
        <f t="shared" si="3"/>
        <v>0.39</v>
      </c>
      <c r="K37" s="23">
        <v>5.67</v>
      </c>
      <c r="L37" s="23">
        <v>12</v>
      </c>
      <c r="M37" s="23" t="str">
        <f t="shared" si="4"/>
        <v>count</v>
      </c>
      <c r="N37" s="29">
        <f t="shared" si="5"/>
        <v>0.47</v>
      </c>
      <c r="O37" s="24">
        <f t="shared" si="8"/>
        <v>0.39</v>
      </c>
      <c r="P37" t="s">
        <v>87</v>
      </c>
      <c r="Q37" t="str">
        <f t="shared" si="9"/>
        <v>Costco</v>
      </c>
    </row>
    <row r="38" spans="1:17" x14ac:dyDescent="0.35">
      <c r="A38" t="s">
        <v>86</v>
      </c>
      <c r="B38" t="s">
        <v>17</v>
      </c>
      <c r="C38" s="17">
        <v>6.38</v>
      </c>
      <c r="D38" s="17">
        <v>6</v>
      </c>
      <c r="E38" s="17" t="str">
        <f t="shared" si="0"/>
        <v>count</v>
      </c>
      <c r="F38" s="19">
        <f t="shared" si="1"/>
        <v>1.06</v>
      </c>
      <c r="G38" s="15">
        <v>6.29</v>
      </c>
      <c r="H38" s="15">
        <v>6</v>
      </c>
      <c r="I38" s="15" t="str">
        <f t="shared" si="2"/>
        <v>count</v>
      </c>
      <c r="J38" s="18">
        <f t="shared" si="3"/>
        <v>1.05</v>
      </c>
      <c r="K38" s="23">
        <v>3.09</v>
      </c>
      <c r="L38" s="23">
        <v>3</v>
      </c>
      <c r="M38" s="23" t="str">
        <f t="shared" si="4"/>
        <v>count</v>
      </c>
      <c r="N38" s="29">
        <f t="shared" si="5"/>
        <v>1.03</v>
      </c>
      <c r="O38" s="24">
        <f t="shared" si="8"/>
        <v>1.03</v>
      </c>
      <c r="P38" t="s">
        <v>87</v>
      </c>
      <c r="Q38" t="str">
        <f t="shared" si="9"/>
        <v>Aldi</v>
      </c>
    </row>
    <row r="39" spans="1:17" x14ac:dyDescent="0.35">
      <c r="A39" t="s">
        <v>190</v>
      </c>
      <c r="B39" t="s">
        <v>191</v>
      </c>
      <c r="C39" s="17">
        <v>9.98</v>
      </c>
      <c r="D39" s="17">
        <v>48</v>
      </c>
      <c r="E39" s="17" t="str">
        <f t="shared" si="0"/>
        <v>ounces</v>
      </c>
      <c r="F39" s="19">
        <f t="shared" si="1"/>
        <v>0.21</v>
      </c>
      <c r="G39" s="15">
        <v>9.99</v>
      </c>
      <c r="H39" s="15">
        <v>48</v>
      </c>
      <c r="I39" s="15" t="str">
        <f t="shared" si="2"/>
        <v>ounces</v>
      </c>
      <c r="J39" s="18">
        <f t="shared" si="3"/>
        <v>0.21</v>
      </c>
      <c r="K39" s="23" t="s">
        <v>205</v>
      </c>
      <c r="M39" s="23" t="str">
        <f t="shared" si="4"/>
        <v>ounces</v>
      </c>
      <c r="N39" s="29" t="e">
        <f t="shared" si="5"/>
        <v>#VALUE!</v>
      </c>
      <c r="O39" s="24">
        <f t="shared" si="8"/>
        <v>0.21</v>
      </c>
      <c r="P39" t="s">
        <v>85</v>
      </c>
      <c r="Q39" t="str">
        <f t="shared" si="9"/>
        <v>Costco</v>
      </c>
    </row>
    <row r="40" spans="1:17" x14ac:dyDescent="0.35">
      <c r="A40" t="s">
        <v>159</v>
      </c>
      <c r="B40" t="s">
        <v>15</v>
      </c>
      <c r="C40" s="17">
        <v>7.62</v>
      </c>
      <c r="D40" s="17">
        <v>24</v>
      </c>
      <c r="E40" s="17" t="str">
        <f t="shared" si="0"/>
        <v>ounces</v>
      </c>
      <c r="F40" s="19">
        <f t="shared" si="1"/>
        <v>0.32</v>
      </c>
      <c r="G40" s="15">
        <v>6.99</v>
      </c>
      <c r="H40" s="15">
        <v>24</v>
      </c>
      <c r="I40" s="15" t="str">
        <f t="shared" si="2"/>
        <v>ounces</v>
      </c>
      <c r="J40" s="18">
        <f t="shared" si="3"/>
        <v>0.28999999999999998</v>
      </c>
      <c r="K40" s="25">
        <v>1.65</v>
      </c>
      <c r="L40" s="23">
        <v>8</v>
      </c>
      <c r="M40" s="23" t="str">
        <f t="shared" si="4"/>
        <v>ounces</v>
      </c>
      <c r="N40" s="29">
        <f t="shared" si="5"/>
        <v>0.21</v>
      </c>
      <c r="O40" s="24">
        <f t="shared" si="8"/>
        <v>0.21</v>
      </c>
      <c r="P40" t="s">
        <v>85</v>
      </c>
      <c r="Q40" t="str">
        <f t="shared" si="9"/>
        <v>Aldi</v>
      </c>
    </row>
    <row r="41" spans="1:17" x14ac:dyDescent="0.35">
      <c r="A41" t="s">
        <v>197</v>
      </c>
      <c r="B41" t="s">
        <v>114</v>
      </c>
      <c r="C41" s="17">
        <v>34.979999999999997</v>
      </c>
      <c r="D41" s="17">
        <v>234</v>
      </c>
      <c r="E41" s="17" t="str">
        <f t="shared" si="0"/>
        <v>diapers</v>
      </c>
      <c r="F41" s="19">
        <f t="shared" si="1"/>
        <v>0.15</v>
      </c>
      <c r="G41" s="15">
        <v>42.99</v>
      </c>
      <c r="H41" s="15">
        <v>222</v>
      </c>
      <c r="I41" s="15" t="str">
        <f t="shared" si="2"/>
        <v>diapers</v>
      </c>
      <c r="J41" s="18">
        <f t="shared" si="3"/>
        <v>0.19</v>
      </c>
      <c r="K41" s="23">
        <v>3.99</v>
      </c>
      <c r="L41" s="23">
        <v>34</v>
      </c>
      <c r="M41" s="23" t="str">
        <f t="shared" si="4"/>
        <v>diapers</v>
      </c>
      <c r="N41" s="29">
        <f t="shared" si="5"/>
        <v>0.12</v>
      </c>
      <c r="O41" s="24">
        <f t="shared" si="8"/>
        <v>0.12</v>
      </c>
      <c r="P41" t="s">
        <v>118</v>
      </c>
      <c r="Q41" t="str">
        <f t="shared" si="9"/>
        <v>Aldi</v>
      </c>
    </row>
    <row r="42" spans="1:17" x14ac:dyDescent="0.35">
      <c r="A42" t="s">
        <v>200</v>
      </c>
      <c r="B42" t="s">
        <v>114</v>
      </c>
      <c r="C42" s="17">
        <v>17.96</v>
      </c>
      <c r="D42" s="17">
        <v>1152</v>
      </c>
      <c r="E42" s="17" t="str">
        <f t="shared" si="0"/>
        <v>wipes</v>
      </c>
      <c r="F42" s="21">
        <f>ROUND(C42/D42,3)</f>
        <v>1.6E-2</v>
      </c>
      <c r="G42" s="15">
        <v>19.989999999999998</v>
      </c>
      <c r="H42" s="15">
        <v>900</v>
      </c>
      <c r="I42" s="15" t="str">
        <f t="shared" si="2"/>
        <v>wipes</v>
      </c>
      <c r="J42" s="22">
        <f>ROUND(G42/H42,3)</f>
        <v>2.1999999999999999E-2</v>
      </c>
      <c r="K42" s="23">
        <v>3.79</v>
      </c>
      <c r="L42" s="23">
        <v>216</v>
      </c>
      <c r="M42" s="23" t="str">
        <f t="shared" si="4"/>
        <v>wipes</v>
      </c>
      <c r="N42" s="31">
        <f>ROUND(K42/L42,3)</f>
        <v>1.7999999999999999E-2</v>
      </c>
      <c r="O42" s="32">
        <f t="shared" si="8"/>
        <v>1.6E-2</v>
      </c>
      <c r="P42" t="s">
        <v>117</v>
      </c>
      <c r="Q42" t="str">
        <f t="shared" si="9"/>
        <v>Sam's Club</v>
      </c>
    </row>
    <row r="43" spans="1:17" x14ac:dyDescent="0.35">
      <c r="A43" t="s">
        <v>24</v>
      </c>
      <c r="B43" t="s">
        <v>22</v>
      </c>
      <c r="C43" s="17">
        <v>4.9800000000000004</v>
      </c>
      <c r="D43" s="17">
        <f>14.5*8</f>
        <v>116</v>
      </c>
      <c r="E43" s="17" t="str">
        <f t="shared" si="0"/>
        <v>ounces</v>
      </c>
      <c r="F43" s="19">
        <f t="shared" ref="F43:F74" si="10">ROUND(C43/D43,2)</f>
        <v>0.04</v>
      </c>
      <c r="G43" s="15">
        <v>6.59</v>
      </c>
      <c r="H43" s="15">
        <f>8*14.5</f>
        <v>116</v>
      </c>
      <c r="I43" s="15" t="str">
        <f t="shared" si="2"/>
        <v>ounces</v>
      </c>
      <c r="J43" s="18">
        <f t="shared" ref="J43:J74" si="11">ROUND(G43/H43,2)</f>
        <v>0.06</v>
      </c>
      <c r="K43" s="23">
        <v>0.64</v>
      </c>
      <c r="L43" s="23">
        <v>14.5</v>
      </c>
      <c r="M43" s="23" t="str">
        <f t="shared" si="4"/>
        <v>ounces</v>
      </c>
      <c r="N43" s="29">
        <f t="shared" ref="N43:N74" si="12">ROUND(K43/L43,2)</f>
        <v>0.04</v>
      </c>
      <c r="O43" s="24">
        <f t="shared" si="8"/>
        <v>0.04</v>
      </c>
      <c r="P43" t="s">
        <v>85</v>
      </c>
      <c r="Q43" t="str">
        <f t="shared" si="9"/>
        <v>Aldi</v>
      </c>
    </row>
    <row r="44" spans="1:17" x14ac:dyDescent="0.35">
      <c r="A44" t="s">
        <v>125</v>
      </c>
      <c r="B44" t="s">
        <v>126</v>
      </c>
      <c r="C44" s="17">
        <v>9.98</v>
      </c>
      <c r="D44" s="17">
        <v>125</v>
      </c>
      <c r="E44" s="17" t="str">
        <f t="shared" si="0"/>
        <v>ounces</v>
      </c>
      <c r="F44" s="19">
        <f t="shared" si="10"/>
        <v>0.08</v>
      </c>
      <c r="G44" s="15">
        <v>9.49</v>
      </c>
      <c r="H44" s="15">
        <v>125</v>
      </c>
      <c r="I44" s="15" t="str">
        <f t="shared" si="2"/>
        <v>ounces</v>
      </c>
      <c r="J44" s="18">
        <f t="shared" si="11"/>
        <v>0.08</v>
      </c>
      <c r="K44" s="23">
        <v>3.35</v>
      </c>
      <c r="L44" s="23">
        <v>70</v>
      </c>
      <c r="M44" s="23" t="str">
        <f t="shared" si="4"/>
        <v>ounces</v>
      </c>
      <c r="N44" s="29">
        <f t="shared" si="12"/>
        <v>0.05</v>
      </c>
      <c r="O44" s="24">
        <f t="shared" si="8"/>
        <v>0.05</v>
      </c>
      <c r="P44" t="s">
        <v>85</v>
      </c>
      <c r="Q44" t="str">
        <f t="shared" si="9"/>
        <v>Aldi</v>
      </c>
    </row>
    <row r="45" spans="1:17" x14ac:dyDescent="0.35">
      <c r="A45" t="s">
        <v>127</v>
      </c>
      <c r="B45" t="s">
        <v>126</v>
      </c>
      <c r="C45" s="17">
        <v>18.850000000000001</v>
      </c>
      <c r="D45" s="17">
        <v>92</v>
      </c>
      <c r="E45" s="17" t="str">
        <f t="shared" si="0"/>
        <v>count</v>
      </c>
      <c r="F45" s="19">
        <f t="shared" si="10"/>
        <v>0.2</v>
      </c>
      <c r="G45" s="15">
        <v>9.89</v>
      </c>
      <c r="H45" s="15">
        <v>115</v>
      </c>
      <c r="I45" s="15" t="str">
        <f t="shared" si="2"/>
        <v>count</v>
      </c>
      <c r="J45" s="18">
        <f t="shared" si="11"/>
        <v>0.09</v>
      </c>
      <c r="K45" s="23" t="s">
        <v>205</v>
      </c>
      <c r="M45" s="23" t="str">
        <f t="shared" si="4"/>
        <v>count</v>
      </c>
      <c r="N45" s="29" t="e">
        <f t="shared" si="12"/>
        <v>#VALUE!</v>
      </c>
      <c r="O45" s="24">
        <f t="shared" si="8"/>
        <v>0.09</v>
      </c>
      <c r="P45" t="s">
        <v>87</v>
      </c>
      <c r="Q45" t="str">
        <f t="shared" si="9"/>
        <v>Costco</v>
      </c>
    </row>
    <row r="46" spans="1:17" x14ac:dyDescent="0.35">
      <c r="A46" t="s">
        <v>138</v>
      </c>
      <c r="B46" t="s">
        <v>131</v>
      </c>
      <c r="C46" s="17">
        <v>14.48</v>
      </c>
      <c r="D46" s="17">
        <v>15</v>
      </c>
      <c r="E46" s="17" t="str">
        <f t="shared" si="0"/>
        <v>pounds</v>
      </c>
      <c r="F46" s="19">
        <f t="shared" si="10"/>
        <v>0.97</v>
      </c>
      <c r="G46" s="15">
        <v>12.99</v>
      </c>
      <c r="H46" s="15">
        <v>15</v>
      </c>
      <c r="I46" s="15" t="str">
        <f t="shared" si="2"/>
        <v>pounds</v>
      </c>
      <c r="J46" s="18">
        <f t="shared" si="11"/>
        <v>0.87</v>
      </c>
      <c r="K46" s="23" t="s">
        <v>205</v>
      </c>
      <c r="M46" s="23" t="str">
        <f t="shared" si="4"/>
        <v>pounds</v>
      </c>
      <c r="N46" s="29" t="e">
        <f t="shared" si="12"/>
        <v>#VALUE!</v>
      </c>
      <c r="O46" s="24">
        <f t="shared" si="8"/>
        <v>0.87</v>
      </c>
      <c r="P46" t="s">
        <v>91</v>
      </c>
      <c r="Q46" t="str">
        <f t="shared" si="9"/>
        <v>Costco</v>
      </c>
    </row>
    <row r="47" spans="1:17" x14ac:dyDescent="0.35">
      <c r="A47" t="s">
        <v>130</v>
      </c>
      <c r="B47" t="s">
        <v>131</v>
      </c>
      <c r="C47" s="17">
        <v>22.98</v>
      </c>
      <c r="D47" s="17">
        <v>55</v>
      </c>
      <c r="E47" s="17" t="str">
        <f t="shared" si="0"/>
        <v>pounds</v>
      </c>
      <c r="F47" s="19">
        <f t="shared" si="10"/>
        <v>0.42</v>
      </c>
      <c r="G47" s="15">
        <v>29.99</v>
      </c>
      <c r="H47" s="15">
        <v>40</v>
      </c>
      <c r="I47" s="15" t="str">
        <f t="shared" si="2"/>
        <v>pounds</v>
      </c>
      <c r="J47" s="18">
        <f t="shared" si="11"/>
        <v>0.75</v>
      </c>
      <c r="K47" s="23">
        <v>9.19</v>
      </c>
      <c r="L47" s="23">
        <v>18.5</v>
      </c>
      <c r="M47" s="23" t="str">
        <f t="shared" si="4"/>
        <v>pounds</v>
      </c>
      <c r="N47" s="29">
        <f t="shared" si="12"/>
        <v>0.5</v>
      </c>
      <c r="O47" s="24">
        <f t="shared" si="8"/>
        <v>0.42</v>
      </c>
      <c r="P47" t="s">
        <v>91</v>
      </c>
      <c r="Q47" t="str">
        <f t="shared" si="9"/>
        <v>Sam's Club</v>
      </c>
    </row>
    <row r="48" spans="1:17" x14ac:dyDescent="0.35">
      <c r="A48" t="s">
        <v>105</v>
      </c>
      <c r="B48" t="s">
        <v>11</v>
      </c>
      <c r="C48" s="17">
        <v>12.87</v>
      </c>
      <c r="D48" s="17">
        <v>7.5</v>
      </c>
      <c r="E48" s="17" t="str">
        <f t="shared" si="0"/>
        <v>dozen</v>
      </c>
      <c r="F48" s="19">
        <f t="shared" si="10"/>
        <v>1.72</v>
      </c>
      <c r="G48" s="15">
        <v>8.49</v>
      </c>
      <c r="H48" s="15">
        <v>5</v>
      </c>
      <c r="I48" s="15" t="str">
        <f t="shared" si="2"/>
        <v>dozen</v>
      </c>
      <c r="J48" s="18">
        <f t="shared" si="11"/>
        <v>1.7</v>
      </c>
      <c r="K48" s="23" t="s">
        <v>205</v>
      </c>
      <c r="M48" s="23" t="str">
        <f t="shared" si="4"/>
        <v>dozen</v>
      </c>
      <c r="N48" s="29" t="e">
        <f t="shared" si="12"/>
        <v>#VALUE!</v>
      </c>
      <c r="O48" s="24">
        <f t="shared" si="8"/>
        <v>1.7</v>
      </c>
      <c r="P48" t="s">
        <v>106</v>
      </c>
      <c r="Q48" t="str">
        <f t="shared" si="9"/>
        <v>Costco</v>
      </c>
    </row>
    <row r="49" spans="1:17" x14ac:dyDescent="0.35">
      <c r="A49" t="s">
        <v>213</v>
      </c>
      <c r="B49" t="s">
        <v>11</v>
      </c>
      <c r="C49" s="17">
        <v>5.22</v>
      </c>
      <c r="D49" s="17">
        <v>3</v>
      </c>
      <c r="E49" s="17" t="str">
        <f t="shared" si="0"/>
        <v>dozen</v>
      </c>
      <c r="F49" s="19">
        <f t="shared" si="10"/>
        <v>1.74</v>
      </c>
      <c r="G49" s="15">
        <v>3.49</v>
      </c>
      <c r="H49" s="15">
        <v>2</v>
      </c>
      <c r="I49" s="15" t="str">
        <f t="shared" si="2"/>
        <v>dozen</v>
      </c>
      <c r="J49" s="18">
        <f t="shared" si="11"/>
        <v>1.75</v>
      </c>
      <c r="K49" s="23">
        <v>1.55</v>
      </c>
      <c r="L49" s="23">
        <v>1</v>
      </c>
      <c r="M49" s="23" t="str">
        <f t="shared" si="4"/>
        <v>dozen</v>
      </c>
      <c r="N49" s="29">
        <f t="shared" si="12"/>
        <v>1.55</v>
      </c>
      <c r="O49" s="24">
        <f t="shared" si="8"/>
        <v>1.55</v>
      </c>
      <c r="P49" t="s">
        <v>106</v>
      </c>
      <c r="Q49" t="str">
        <f t="shared" si="9"/>
        <v>Aldi</v>
      </c>
    </row>
    <row r="50" spans="1:17" x14ac:dyDescent="0.35">
      <c r="A50" t="s">
        <v>124</v>
      </c>
      <c r="B50" t="s">
        <v>126</v>
      </c>
      <c r="C50" s="17">
        <v>7.66</v>
      </c>
      <c r="D50" s="17">
        <v>480</v>
      </c>
      <c r="E50" s="17" t="str">
        <f t="shared" si="0"/>
        <v>count</v>
      </c>
      <c r="F50" s="19">
        <f t="shared" si="10"/>
        <v>0.02</v>
      </c>
      <c r="G50" s="15">
        <v>7.99</v>
      </c>
      <c r="H50" s="15">
        <v>500</v>
      </c>
      <c r="I50" s="15" t="str">
        <f t="shared" si="2"/>
        <v>count</v>
      </c>
      <c r="J50" s="18">
        <f t="shared" si="11"/>
        <v>0.02</v>
      </c>
      <c r="K50" s="23" t="s">
        <v>205</v>
      </c>
      <c r="M50" s="23" t="str">
        <f t="shared" si="4"/>
        <v>count</v>
      </c>
      <c r="N50" s="29" t="e">
        <f t="shared" si="12"/>
        <v>#VALUE!</v>
      </c>
      <c r="O50" s="24">
        <f t="shared" si="8"/>
        <v>0.02</v>
      </c>
      <c r="P50" t="s">
        <v>87</v>
      </c>
      <c r="Q50" t="str">
        <f t="shared" si="9"/>
        <v>Costco</v>
      </c>
    </row>
    <row r="51" spans="1:17" x14ac:dyDescent="0.35">
      <c r="A51" t="s">
        <v>160</v>
      </c>
      <c r="B51" t="s">
        <v>73</v>
      </c>
      <c r="C51" s="17">
        <v>7.83</v>
      </c>
      <c r="D51" s="17">
        <v>25</v>
      </c>
      <c r="E51" s="17" t="str">
        <f t="shared" si="0"/>
        <v>pounds</v>
      </c>
      <c r="F51" s="19">
        <f t="shared" si="10"/>
        <v>0.31</v>
      </c>
      <c r="G51" s="15">
        <v>8.99</v>
      </c>
      <c r="H51" s="15">
        <v>25</v>
      </c>
      <c r="I51" s="15" t="str">
        <f t="shared" si="2"/>
        <v>pounds</v>
      </c>
      <c r="J51" s="18">
        <f t="shared" si="11"/>
        <v>0.36</v>
      </c>
      <c r="K51" s="23">
        <v>1.49</v>
      </c>
      <c r="L51" s="23">
        <v>5</v>
      </c>
      <c r="M51" s="23" t="str">
        <f t="shared" si="4"/>
        <v>pounds</v>
      </c>
      <c r="N51" s="29">
        <f t="shared" si="12"/>
        <v>0.3</v>
      </c>
      <c r="O51" s="24">
        <f t="shared" si="8"/>
        <v>0.3</v>
      </c>
      <c r="P51" t="s">
        <v>91</v>
      </c>
      <c r="Q51" t="str">
        <f t="shared" si="9"/>
        <v>Aldi</v>
      </c>
    </row>
    <row r="52" spans="1:17" x14ac:dyDescent="0.35">
      <c r="A52" t="s">
        <v>27</v>
      </c>
      <c r="B52" t="s">
        <v>28</v>
      </c>
      <c r="C52" s="17">
        <v>6.72</v>
      </c>
      <c r="D52" s="17">
        <v>4</v>
      </c>
      <c r="E52" s="17" t="str">
        <f t="shared" si="0"/>
        <v>pounds</v>
      </c>
      <c r="F52" s="19">
        <f t="shared" si="10"/>
        <v>1.68</v>
      </c>
      <c r="G52" s="15">
        <v>7.99</v>
      </c>
      <c r="H52" s="15">
        <v>4</v>
      </c>
      <c r="I52" s="15" t="str">
        <f t="shared" si="2"/>
        <v>pounds</v>
      </c>
      <c r="J52" s="18">
        <f t="shared" si="11"/>
        <v>2</v>
      </c>
      <c r="K52" s="23">
        <v>0.89</v>
      </c>
      <c r="L52" s="23">
        <f>12/16</f>
        <v>0.75</v>
      </c>
      <c r="M52" s="23" t="str">
        <f t="shared" si="4"/>
        <v>pounds</v>
      </c>
      <c r="N52" s="29">
        <f t="shared" si="12"/>
        <v>1.19</v>
      </c>
      <c r="O52" s="24">
        <f t="shared" si="8"/>
        <v>1.19</v>
      </c>
      <c r="P52" t="s">
        <v>91</v>
      </c>
      <c r="Q52" t="str">
        <f t="shared" si="9"/>
        <v>Aldi</v>
      </c>
    </row>
    <row r="53" spans="1:17" x14ac:dyDescent="0.35">
      <c r="A53" t="s">
        <v>135</v>
      </c>
      <c r="B53" t="s">
        <v>28</v>
      </c>
      <c r="C53" s="17">
        <v>18.98</v>
      </c>
      <c r="D53" s="17">
        <v>10</v>
      </c>
      <c r="E53" s="17" t="str">
        <f t="shared" si="0"/>
        <v>pounds</v>
      </c>
      <c r="F53" s="19">
        <f t="shared" si="10"/>
        <v>1.9</v>
      </c>
      <c r="G53" s="15">
        <v>18.989999999999998</v>
      </c>
      <c r="H53" s="15">
        <v>6.5</v>
      </c>
      <c r="I53" s="15" t="str">
        <f t="shared" si="2"/>
        <v>pounds</v>
      </c>
      <c r="J53" s="18">
        <f t="shared" si="11"/>
        <v>2.92</v>
      </c>
      <c r="K53" s="23">
        <v>6.45</v>
      </c>
      <c r="L53" s="23">
        <v>3</v>
      </c>
      <c r="M53" s="23" t="str">
        <f t="shared" si="4"/>
        <v>pounds</v>
      </c>
      <c r="N53" s="29">
        <f t="shared" si="12"/>
        <v>2.15</v>
      </c>
      <c r="O53" s="24">
        <f t="shared" si="8"/>
        <v>1.9</v>
      </c>
      <c r="P53" t="s">
        <v>91</v>
      </c>
      <c r="Q53" t="str">
        <f t="shared" si="9"/>
        <v>Sam's Club</v>
      </c>
    </row>
    <row r="54" spans="1:17" x14ac:dyDescent="0.35">
      <c r="A54" t="s">
        <v>129</v>
      </c>
      <c r="B54" t="s">
        <v>28</v>
      </c>
      <c r="C54" s="17">
        <v>7.48</v>
      </c>
      <c r="D54" s="17">
        <v>5</v>
      </c>
      <c r="E54" s="17" t="str">
        <f t="shared" si="0"/>
        <v>pounds</v>
      </c>
      <c r="F54" s="19">
        <f t="shared" si="10"/>
        <v>1.5</v>
      </c>
      <c r="G54" s="15">
        <v>7.49</v>
      </c>
      <c r="H54" s="15">
        <v>5</v>
      </c>
      <c r="I54" s="15" t="str">
        <f t="shared" si="2"/>
        <v>pounds</v>
      </c>
      <c r="J54" s="18">
        <f t="shared" si="11"/>
        <v>1.5</v>
      </c>
      <c r="K54" s="23">
        <v>0.78</v>
      </c>
      <c r="L54" s="23">
        <v>0.75</v>
      </c>
      <c r="M54" s="23" t="str">
        <f t="shared" si="4"/>
        <v>pounds</v>
      </c>
      <c r="N54" s="29">
        <f t="shared" si="12"/>
        <v>1.04</v>
      </c>
      <c r="O54" s="24">
        <f t="shared" si="8"/>
        <v>1.04</v>
      </c>
      <c r="P54" t="s">
        <v>91</v>
      </c>
      <c r="Q54" t="str">
        <f t="shared" si="9"/>
        <v>Aldi</v>
      </c>
    </row>
    <row r="55" spans="1:17" x14ac:dyDescent="0.35">
      <c r="A55" t="s">
        <v>79</v>
      </c>
      <c r="B55" t="s">
        <v>17</v>
      </c>
      <c r="C55" s="17">
        <v>6.72</v>
      </c>
      <c r="D55" s="17">
        <v>5</v>
      </c>
      <c r="E55" s="17" t="str">
        <f t="shared" si="0"/>
        <v>pound</v>
      </c>
      <c r="F55" s="19">
        <f t="shared" si="10"/>
        <v>1.34</v>
      </c>
      <c r="G55" s="15">
        <v>9.99</v>
      </c>
      <c r="H55" s="15">
        <v>5.5</v>
      </c>
      <c r="I55" s="15" t="str">
        <f t="shared" si="2"/>
        <v>pound</v>
      </c>
      <c r="J55" s="18">
        <f t="shared" si="11"/>
        <v>1.82</v>
      </c>
      <c r="K55" s="23">
        <v>3.19</v>
      </c>
      <c r="L55" s="23">
        <v>3</v>
      </c>
      <c r="M55" s="23" t="str">
        <f t="shared" si="4"/>
        <v>pound</v>
      </c>
      <c r="N55" s="29">
        <f t="shared" si="12"/>
        <v>1.06</v>
      </c>
      <c r="O55" s="24">
        <f t="shared" si="8"/>
        <v>1.06</v>
      </c>
      <c r="P55" t="s">
        <v>76</v>
      </c>
      <c r="Q55" t="str">
        <f t="shared" si="9"/>
        <v>Aldi</v>
      </c>
    </row>
    <row r="56" spans="1:17" x14ac:dyDescent="0.35">
      <c r="A56" t="s">
        <v>195</v>
      </c>
      <c r="B56" t="s">
        <v>15</v>
      </c>
      <c r="C56" s="17">
        <v>8.48</v>
      </c>
      <c r="D56" s="17">
        <v>21</v>
      </c>
      <c r="E56" s="17" t="str">
        <f t="shared" si="0"/>
        <v>ounces</v>
      </c>
      <c r="F56" s="19">
        <f t="shared" si="10"/>
        <v>0.4</v>
      </c>
      <c r="I56" s="15" t="str">
        <f t="shared" si="2"/>
        <v>ounces</v>
      </c>
      <c r="J56" s="18" t="e">
        <f t="shared" si="11"/>
        <v>#DIV/0!</v>
      </c>
      <c r="K56" s="23">
        <v>0.95</v>
      </c>
      <c r="L56" s="23">
        <v>3.12</v>
      </c>
      <c r="M56" s="23" t="str">
        <f t="shared" si="4"/>
        <v>ounces</v>
      </c>
      <c r="N56" s="29">
        <f t="shared" si="12"/>
        <v>0.3</v>
      </c>
      <c r="O56" s="24">
        <f t="shared" si="8"/>
        <v>0.3</v>
      </c>
      <c r="P56" t="s">
        <v>85</v>
      </c>
      <c r="Q56" t="str">
        <f t="shared" si="9"/>
        <v>Aldi</v>
      </c>
    </row>
    <row r="57" spans="1:17" x14ac:dyDescent="0.35">
      <c r="A57" t="s">
        <v>80</v>
      </c>
      <c r="B57" t="s">
        <v>17</v>
      </c>
      <c r="C57" s="17" t="s">
        <v>205</v>
      </c>
      <c r="D57" s="17" t="s">
        <v>205</v>
      </c>
      <c r="E57" s="17" t="str">
        <f t="shared" si="0"/>
        <v>pound</v>
      </c>
      <c r="F57" s="19" t="e">
        <f t="shared" si="10"/>
        <v>#VALUE!</v>
      </c>
      <c r="G57" s="15">
        <v>5.99</v>
      </c>
      <c r="H57" s="15">
        <v>10</v>
      </c>
      <c r="I57" s="15" t="str">
        <f t="shared" si="2"/>
        <v>pound</v>
      </c>
      <c r="J57" s="18">
        <f t="shared" si="11"/>
        <v>0.6</v>
      </c>
      <c r="K57" s="23">
        <v>2.99</v>
      </c>
      <c r="L57" s="23">
        <v>1.5</v>
      </c>
      <c r="M57" s="23" t="str">
        <f t="shared" si="4"/>
        <v>pound</v>
      </c>
      <c r="N57" s="29">
        <f t="shared" si="12"/>
        <v>1.99</v>
      </c>
      <c r="O57" s="24">
        <f t="shared" si="8"/>
        <v>0.6</v>
      </c>
      <c r="P57" t="s">
        <v>76</v>
      </c>
      <c r="Q57" t="str">
        <f t="shared" si="9"/>
        <v>Costco</v>
      </c>
    </row>
    <row r="58" spans="1:17" x14ac:dyDescent="0.35">
      <c r="A58" t="s">
        <v>181</v>
      </c>
      <c r="B58" t="s">
        <v>73</v>
      </c>
      <c r="C58" s="17">
        <v>10.28</v>
      </c>
      <c r="D58" s="17">
        <v>66</v>
      </c>
      <c r="E58" s="17" t="str">
        <f t="shared" si="0"/>
        <v>ounces</v>
      </c>
      <c r="F58" s="19">
        <f t="shared" si="10"/>
        <v>0.16</v>
      </c>
      <c r="G58" s="15">
        <v>9.99</v>
      </c>
      <c r="H58" s="15">
        <v>66</v>
      </c>
      <c r="I58" s="15" t="str">
        <f t="shared" si="2"/>
        <v>ounces</v>
      </c>
      <c r="J58" s="18">
        <f t="shared" si="11"/>
        <v>0.15</v>
      </c>
      <c r="K58" s="23">
        <v>4.09</v>
      </c>
      <c r="L58" s="23">
        <v>11</v>
      </c>
      <c r="M58" s="23" t="str">
        <f t="shared" si="4"/>
        <v>ounces</v>
      </c>
      <c r="N58" s="29">
        <f t="shared" si="12"/>
        <v>0.37</v>
      </c>
      <c r="O58" s="24">
        <f t="shared" si="8"/>
        <v>0.15</v>
      </c>
      <c r="P58" t="s">
        <v>85</v>
      </c>
      <c r="Q58" t="str">
        <f t="shared" si="9"/>
        <v>Costco</v>
      </c>
    </row>
    <row r="59" spans="1:17" x14ac:dyDescent="0.35">
      <c r="A59" t="s">
        <v>179</v>
      </c>
      <c r="B59" t="s">
        <v>15</v>
      </c>
      <c r="C59" s="17">
        <v>7.97</v>
      </c>
      <c r="D59" s="17">
        <f>14.4*4</f>
        <v>57.6</v>
      </c>
      <c r="E59" s="17" t="str">
        <f t="shared" si="0"/>
        <v>ounces</v>
      </c>
      <c r="F59" s="19">
        <f t="shared" si="10"/>
        <v>0.14000000000000001</v>
      </c>
      <c r="G59" s="15">
        <v>7.89</v>
      </c>
      <c r="H59" s="15">
        <v>57.6</v>
      </c>
      <c r="I59" s="15" t="str">
        <f t="shared" si="2"/>
        <v>ounces</v>
      </c>
      <c r="J59" s="18">
        <f t="shared" si="11"/>
        <v>0.14000000000000001</v>
      </c>
      <c r="K59" s="23">
        <v>1.49</v>
      </c>
      <c r="L59" s="23">
        <v>14.4</v>
      </c>
      <c r="M59" s="23" t="str">
        <f t="shared" si="4"/>
        <v>ounces</v>
      </c>
      <c r="N59" s="29">
        <f t="shared" si="12"/>
        <v>0.1</v>
      </c>
      <c r="O59" s="24">
        <f t="shared" si="8"/>
        <v>0.1</v>
      </c>
      <c r="P59" t="s">
        <v>85</v>
      </c>
      <c r="Q59" t="str">
        <f t="shared" si="9"/>
        <v>Aldi</v>
      </c>
    </row>
    <row r="60" spans="1:17" x14ac:dyDescent="0.35">
      <c r="A60" t="s">
        <v>77</v>
      </c>
      <c r="B60" t="s">
        <v>17</v>
      </c>
      <c r="C60" s="17">
        <v>5.98</v>
      </c>
      <c r="D60" s="17">
        <v>2</v>
      </c>
      <c r="E60" s="17" t="str">
        <f t="shared" si="0"/>
        <v>pound</v>
      </c>
      <c r="F60" s="19">
        <f t="shared" si="10"/>
        <v>2.99</v>
      </c>
      <c r="G60" s="15">
        <v>5.89</v>
      </c>
      <c r="H60" s="15">
        <v>2</v>
      </c>
      <c r="I60" s="15" t="str">
        <f t="shared" si="2"/>
        <v>pound</v>
      </c>
      <c r="J60" s="18">
        <f t="shared" si="11"/>
        <v>2.95</v>
      </c>
      <c r="K60" s="23">
        <v>1.89</v>
      </c>
      <c r="L60" s="23">
        <v>1.5</v>
      </c>
      <c r="M60" s="23" t="str">
        <f t="shared" si="4"/>
        <v>pound</v>
      </c>
      <c r="N60" s="29">
        <f t="shared" si="12"/>
        <v>1.26</v>
      </c>
      <c r="O60" s="24">
        <f t="shared" si="8"/>
        <v>1.26</v>
      </c>
      <c r="P60" t="s">
        <v>76</v>
      </c>
      <c r="Q60" t="str">
        <f t="shared" si="9"/>
        <v>Aldi</v>
      </c>
    </row>
    <row r="61" spans="1:17" x14ac:dyDescent="0.35">
      <c r="A61" t="s">
        <v>173</v>
      </c>
      <c r="B61" t="s">
        <v>17</v>
      </c>
      <c r="C61" s="17">
        <v>5.48</v>
      </c>
      <c r="D61" s="17">
        <v>2</v>
      </c>
      <c r="E61" s="17" t="str">
        <f t="shared" si="0"/>
        <v>pound</v>
      </c>
      <c r="F61" s="19">
        <f t="shared" si="10"/>
        <v>2.74</v>
      </c>
      <c r="G61" s="15">
        <v>6.99</v>
      </c>
      <c r="H61" s="15">
        <v>2</v>
      </c>
      <c r="I61" s="15" t="str">
        <f t="shared" si="2"/>
        <v>pound</v>
      </c>
      <c r="J61" s="18">
        <f t="shared" si="11"/>
        <v>3.5</v>
      </c>
      <c r="K61" s="25">
        <v>1.75</v>
      </c>
      <c r="L61" s="23">
        <v>1</v>
      </c>
      <c r="M61" s="23" t="str">
        <f t="shared" si="4"/>
        <v>pound</v>
      </c>
      <c r="N61" s="29">
        <f t="shared" si="12"/>
        <v>1.75</v>
      </c>
      <c r="O61" s="24">
        <f t="shared" si="8"/>
        <v>1.75</v>
      </c>
      <c r="P61" t="s">
        <v>76</v>
      </c>
      <c r="Q61" t="str">
        <f t="shared" si="9"/>
        <v>Aldi</v>
      </c>
    </row>
    <row r="62" spans="1:17" x14ac:dyDescent="0.35">
      <c r="A62" t="s">
        <v>19</v>
      </c>
      <c r="B62" t="s">
        <v>17</v>
      </c>
      <c r="C62" s="17">
        <v>4.9800000000000004</v>
      </c>
      <c r="D62" s="17">
        <v>6</v>
      </c>
      <c r="E62" s="17" t="str">
        <f t="shared" si="0"/>
        <v>count</v>
      </c>
      <c r="F62" s="19">
        <f t="shared" si="10"/>
        <v>0.83</v>
      </c>
      <c r="I62" s="15" t="str">
        <f t="shared" si="2"/>
        <v>count</v>
      </c>
      <c r="J62" s="18" t="e">
        <f t="shared" si="11"/>
        <v>#DIV/0!</v>
      </c>
      <c r="K62" s="23">
        <v>1.99</v>
      </c>
      <c r="L62" s="23">
        <v>3</v>
      </c>
      <c r="M62" s="23" t="str">
        <f t="shared" si="4"/>
        <v>count</v>
      </c>
      <c r="N62" s="29">
        <f t="shared" si="12"/>
        <v>0.66</v>
      </c>
      <c r="O62" s="24">
        <f t="shared" si="8"/>
        <v>0.66</v>
      </c>
      <c r="P62" t="s">
        <v>87</v>
      </c>
      <c r="Q62" t="str">
        <f t="shared" si="9"/>
        <v>Aldi</v>
      </c>
    </row>
    <row r="63" spans="1:17" x14ac:dyDescent="0.35">
      <c r="A63" t="s">
        <v>7</v>
      </c>
      <c r="B63" t="s">
        <v>5</v>
      </c>
      <c r="C63" s="17">
        <v>3.28</v>
      </c>
      <c r="D63" s="17">
        <v>1</v>
      </c>
      <c r="E63" s="17" t="str">
        <f t="shared" si="0"/>
        <v>pound</v>
      </c>
      <c r="F63" s="19">
        <f t="shared" si="10"/>
        <v>3.28</v>
      </c>
      <c r="G63" s="15">
        <v>4.1900000000000004</v>
      </c>
      <c r="H63" s="15">
        <v>1</v>
      </c>
      <c r="I63" s="15" t="str">
        <f t="shared" si="2"/>
        <v>pound</v>
      </c>
      <c r="J63" s="18">
        <f t="shared" si="11"/>
        <v>4.1900000000000004</v>
      </c>
      <c r="K63" s="23">
        <v>3.58</v>
      </c>
      <c r="L63" s="23">
        <v>1</v>
      </c>
      <c r="M63" s="23" t="str">
        <f t="shared" si="4"/>
        <v>pound</v>
      </c>
      <c r="N63" s="29">
        <f t="shared" si="12"/>
        <v>3.58</v>
      </c>
      <c r="O63" s="24">
        <f t="shared" si="8"/>
        <v>3.28</v>
      </c>
      <c r="P63" t="s">
        <v>76</v>
      </c>
      <c r="Q63" t="str">
        <f t="shared" si="9"/>
        <v>Sam's Club</v>
      </c>
    </row>
    <row r="64" spans="1:17" x14ac:dyDescent="0.35">
      <c r="A64" t="s">
        <v>6</v>
      </c>
      <c r="B64" t="s">
        <v>5</v>
      </c>
      <c r="C64" s="17">
        <v>14.48</v>
      </c>
      <c r="D64" s="17">
        <v>5</v>
      </c>
      <c r="E64" s="17" t="str">
        <f t="shared" si="0"/>
        <v>pound</v>
      </c>
      <c r="F64" s="19">
        <f t="shared" si="10"/>
        <v>2.9</v>
      </c>
      <c r="G64" s="15">
        <v>17.59</v>
      </c>
      <c r="H64" s="15">
        <f>1.7*4</f>
        <v>6.8</v>
      </c>
      <c r="I64" s="15" t="str">
        <f t="shared" si="2"/>
        <v>pound</v>
      </c>
      <c r="J64" s="18">
        <f t="shared" si="11"/>
        <v>2.59</v>
      </c>
      <c r="K64" s="23">
        <v>1.99</v>
      </c>
      <c r="L64" s="23">
        <v>1</v>
      </c>
      <c r="M64" s="23" t="str">
        <f t="shared" si="4"/>
        <v>pound</v>
      </c>
      <c r="N64" s="29">
        <f t="shared" si="12"/>
        <v>1.99</v>
      </c>
      <c r="O64" s="24">
        <f t="shared" si="8"/>
        <v>1.99</v>
      </c>
      <c r="P64" t="s">
        <v>76</v>
      </c>
      <c r="Q64" t="str">
        <f t="shared" si="9"/>
        <v>Aldi</v>
      </c>
    </row>
    <row r="65" spans="1:17" x14ac:dyDescent="0.35">
      <c r="A65" t="s">
        <v>112</v>
      </c>
      <c r="B65" t="s">
        <v>5</v>
      </c>
      <c r="C65" s="17">
        <v>6.28</v>
      </c>
      <c r="D65" s="17">
        <v>1.37</v>
      </c>
      <c r="E65" s="17" t="str">
        <f t="shared" si="0"/>
        <v>pound</v>
      </c>
      <c r="F65" s="19">
        <f t="shared" si="10"/>
        <v>4.58</v>
      </c>
      <c r="G65" s="15">
        <v>5.89</v>
      </c>
      <c r="H65" s="15">
        <v>1</v>
      </c>
      <c r="I65" s="15" t="str">
        <f t="shared" si="2"/>
        <v>pound</v>
      </c>
      <c r="J65" s="18">
        <f t="shared" si="11"/>
        <v>5.89</v>
      </c>
      <c r="K65" s="23">
        <v>5.49</v>
      </c>
      <c r="L65" s="23">
        <v>1</v>
      </c>
      <c r="M65" s="23" t="str">
        <f t="shared" si="4"/>
        <v>pound</v>
      </c>
      <c r="N65" s="29">
        <f t="shared" si="12"/>
        <v>5.49</v>
      </c>
      <c r="O65" s="24">
        <f t="shared" si="8"/>
        <v>4.58</v>
      </c>
      <c r="P65" t="s">
        <v>76</v>
      </c>
      <c r="Q65" t="str">
        <f t="shared" si="9"/>
        <v>Sam's Club</v>
      </c>
    </row>
    <row r="66" spans="1:17" x14ac:dyDescent="0.35">
      <c r="A66" t="s">
        <v>38</v>
      </c>
      <c r="B66" t="s">
        <v>15</v>
      </c>
      <c r="C66" s="17">
        <v>10.98</v>
      </c>
      <c r="D66" s="17">
        <v>48</v>
      </c>
      <c r="E66" s="17" t="str">
        <f t="shared" ref="E66:E129" si="13">P66</f>
        <v>ounces</v>
      </c>
      <c r="F66" s="19">
        <f t="shared" si="10"/>
        <v>0.23</v>
      </c>
      <c r="G66" s="15">
        <v>13.79</v>
      </c>
      <c r="H66" s="15">
        <f>5*16</f>
        <v>80</v>
      </c>
      <c r="I66" s="15" t="str">
        <f t="shared" ref="I66:I129" si="14">P66</f>
        <v>ounces</v>
      </c>
      <c r="J66" s="18">
        <f t="shared" si="11"/>
        <v>0.17</v>
      </c>
      <c r="K66" s="23">
        <v>6.95</v>
      </c>
      <c r="L66" s="23">
        <v>24</v>
      </c>
      <c r="M66" s="23" t="str">
        <f t="shared" ref="M66:M129" si="15">P66</f>
        <v>ounces</v>
      </c>
      <c r="N66" s="29">
        <f t="shared" si="12"/>
        <v>0.28999999999999998</v>
      </c>
      <c r="O66" s="24">
        <f t="shared" ref="O66:O97" si="16">MIN(IFERROR(F66,N66),IFERROR(J66,F66),IFERROR(N66,J66))</f>
        <v>0.17</v>
      </c>
      <c r="P66" t="s">
        <v>85</v>
      </c>
      <c r="Q66" t="str">
        <f t="shared" ref="Q66:Q97" si="17">IF(O66=IFERROR(N66,9999),$K$1,IF(O66=IFERROR(J66,9999),$G$1,$C$1))</f>
        <v>Costco</v>
      </c>
    </row>
    <row r="67" spans="1:17" x14ac:dyDescent="0.35">
      <c r="A67" t="s">
        <v>33</v>
      </c>
      <c r="B67" t="s">
        <v>15</v>
      </c>
      <c r="C67" s="17">
        <v>6.88</v>
      </c>
      <c r="D67" s="17">
        <v>48</v>
      </c>
      <c r="E67" s="17" t="str">
        <f t="shared" si="13"/>
        <v>ounces</v>
      </c>
      <c r="F67" s="19">
        <f t="shared" si="10"/>
        <v>0.14000000000000001</v>
      </c>
      <c r="G67" s="15">
        <v>7.89</v>
      </c>
      <c r="H67" s="15">
        <f>27.5*2</f>
        <v>55</v>
      </c>
      <c r="I67" s="15" t="str">
        <f t="shared" si="14"/>
        <v>ounces</v>
      </c>
      <c r="J67" s="18">
        <f t="shared" si="11"/>
        <v>0.14000000000000001</v>
      </c>
      <c r="K67" s="23">
        <v>3.49</v>
      </c>
      <c r="L67" s="23">
        <v>15.4</v>
      </c>
      <c r="M67" s="23" t="str">
        <f t="shared" si="15"/>
        <v>ounces</v>
      </c>
      <c r="N67" s="29">
        <f t="shared" si="12"/>
        <v>0.23</v>
      </c>
      <c r="O67" s="24">
        <f t="shared" si="16"/>
        <v>0.14000000000000001</v>
      </c>
      <c r="P67" t="s">
        <v>85</v>
      </c>
      <c r="Q67" t="str">
        <f t="shared" si="17"/>
        <v>Costco</v>
      </c>
    </row>
    <row r="68" spans="1:17" x14ac:dyDescent="0.35">
      <c r="A68" t="s">
        <v>194</v>
      </c>
      <c r="B68" t="s">
        <v>96</v>
      </c>
      <c r="C68" s="17">
        <v>1.5</v>
      </c>
      <c r="D68" s="17">
        <v>1</v>
      </c>
      <c r="E68" s="17" t="str">
        <f t="shared" si="13"/>
        <v>count</v>
      </c>
      <c r="F68" s="19">
        <f t="shared" si="10"/>
        <v>1.5</v>
      </c>
      <c r="G68" s="15">
        <v>1.5</v>
      </c>
      <c r="H68" s="15">
        <v>1</v>
      </c>
      <c r="I68" s="15" t="str">
        <f t="shared" si="14"/>
        <v>count</v>
      </c>
      <c r="J68" s="18">
        <f t="shared" si="11"/>
        <v>1.5</v>
      </c>
      <c r="K68" s="23">
        <v>2.39</v>
      </c>
      <c r="L68" s="23">
        <v>1</v>
      </c>
      <c r="M68" s="23" t="str">
        <f t="shared" si="15"/>
        <v>count</v>
      </c>
      <c r="N68" s="29">
        <f t="shared" si="12"/>
        <v>2.39</v>
      </c>
      <c r="O68" s="24">
        <f t="shared" si="16"/>
        <v>1.5</v>
      </c>
      <c r="P68" t="s">
        <v>87</v>
      </c>
      <c r="Q68" t="str">
        <f t="shared" si="17"/>
        <v>Costco</v>
      </c>
    </row>
    <row r="69" spans="1:17" x14ac:dyDescent="0.35">
      <c r="A69" t="s">
        <v>148</v>
      </c>
      <c r="B69" t="s">
        <v>73</v>
      </c>
      <c r="C69" s="17">
        <v>8.67</v>
      </c>
      <c r="D69" s="17">
        <f>48/16</f>
        <v>3</v>
      </c>
      <c r="E69" s="17" t="str">
        <f t="shared" si="13"/>
        <v>pound</v>
      </c>
      <c r="F69" s="19">
        <f t="shared" si="10"/>
        <v>2.89</v>
      </c>
      <c r="G69" s="15">
        <v>11.99</v>
      </c>
      <c r="H69" s="15">
        <v>2.5</v>
      </c>
      <c r="I69" s="15" t="str">
        <f t="shared" si="14"/>
        <v>pound</v>
      </c>
      <c r="J69" s="18">
        <f t="shared" si="11"/>
        <v>4.8</v>
      </c>
      <c r="K69" s="23">
        <v>4.99</v>
      </c>
      <c r="L69" s="23">
        <f>30.5/16</f>
        <v>1.90625</v>
      </c>
      <c r="M69" s="23" t="str">
        <f t="shared" si="15"/>
        <v>pound</v>
      </c>
      <c r="N69" s="29">
        <f t="shared" si="12"/>
        <v>2.62</v>
      </c>
      <c r="O69" s="24">
        <f t="shared" si="16"/>
        <v>2.62</v>
      </c>
      <c r="P69" t="s">
        <v>76</v>
      </c>
      <c r="Q69" t="str">
        <f t="shared" si="17"/>
        <v>Aldi</v>
      </c>
    </row>
    <row r="70" spans="1:17" x14ac:dyDescent="0.35">
      <c r="A70" t="s">
        <v>104</v>
      </c>
      <c r="B70" t="s">
        <v>17</v>
      </c>
      <c r="C70" s="17">
        <v>3.98</v>
      </c>
      <c r="D70" s="17">
        <v>32</v>
      </c>
      <c r="E70" s="17" t="str">
        <f t="shared" si="13"/>
        <v>ounces</v>
      </c>
      <c r="F70" s="19">
        <f t="shared" si="10"/>
        <v>0.12</v>
      </c>
      <c r="G70" s="15">
        <v>5.99</v>
      </c>
      <c r="H70" s="15">
        <v>34</v>
      </c>
      <c r="I70" s="15" t="str">
        <f t="shared" si="14"/>
        <v>ounces</v>
      </c>
      <c r="J70" s="18">
        <f t="shared" si="11"/>
        <v>0.18</v>
      </c>
      <c r="K70" s="23">
        <v>1.49</v>
      </c>
      <c r="L70" s="23">
        <v>10</v>
      </c>
      <c r="M70" s="23" t="str">
        <f t="shared" si="15"/>
        <v>ounces</v>
      </c>
      <c r="N70" s="29">
        <f t="shared" si="12"/>
        <v>0.15</v>
      </c>
      <c r="O70" s="24">
        <f t="shared" si="16"/>
        <v>0.12</v>
      </c>
      <c r="P70" t="s">
        <v>85</v>
      </c>
      <c r="Q70" t="str">
        <f t="shared" si="17"/>
        <v>Sam's Club</v>
      </c>
    </row>
    <row r="71" spans="1:17" x14ac:dyDescent="0.35">
      <c r="A71" t="s">
        <v>193</v>
      </c>
      <c r="B71" t="s">
        <v>191</v>
      </c>
      <c r="C71" s="17">
        <v>10.54</v>
      </c>
      <c r="D71" s="17">
        <v>1200</v>
      </c>
      <c r="E71" s="17" t="str">
        <f t="shared" si="13"/>
        <v>count</v>
      </c>
      <c r="F71" s="19">
        <f t="shared" si="10"/>
        <v>0.01</v>
      </c>
      <c r="G71" s="15">
        <v>9.99</v>
      </c>
      <c r="H71" s="15">
        <v>1000</v>
      </c>
      <c r="I71" s="15" t="str">
        <f t="shared" si="14"/>
        <v>count</v>
      </c>
      <c r="J71" s="18">
        <f t="shared" si="11"/>
        <v>0.01</v>
      </c>
      <c r="K71" s="23">
        <v>1.95</v>
      </c>
      <c r="L71" s="23">
        <v>100</v>
      </c>
      <c r="M71" s="23" t="str">
        <f t="shared" si="15"/>
        <v>count</v>
      </c>
      <c r="N71" s="29">
        <f t="shared" si="12"/>
        <v>0.02</v>
      </c>
      <c r="O71" s="24">
        <f t="shared" si="16"/>
        <v>0.01</v>
      </c>
      <c r="P71" t="s">
        <v>87</v>
      </c>
      <c r="Q71" t="str">
        <f t="shared" si="17"/>
        <v>Costco</v>
      </c>
    </row>
    <row r="72" spans="1:17" x14ac:dyDescent="0.35">
      <c r="A72" t="s">
        <v>29</v>
      </c>
      <c r="B72" t="s">
        <v>15</v>
      </c>
      <c r="C72" s="17">
        <v>5.98</v>
      </c>
      <c r="D72" s="17">
        <v>6</v>
      </c>
      <c r="E72" s="17" t="str">
        <f t="shared" si="13"/>
        <v>ounces</v>
      </c>
      <c r="F72" s="19">
        <f t="shared" si="10"/>
        <v>1</v>
      </c>
      <c r="I72" s="15" t="str">
        <f t="shared" si="14"/>
        <v>ounces</v>
      </c>
      <c r="J72" s="18" t="e">
        <f t="shared" si="11"/>
        <v>#DIV/0!</v>
      </c>
      <c r="K72" s="23">
        <v>0.95</v>
      </c>
      <c r="L72" s="23">
        <v>0.75</v>
      </c>
      <c r="M72" s="23" t="str">
        <f t="shared" si="15"/>
        <v>ounces</v>
      </c>
      <c r="N72" s="29">
        <f t="shared" si="12"/>
        <v>1.27</v>
      </c>
      <c r="O72" s="24">
        <f t="shared" si="16"/>
        <v>1</v>
      </c>
      <c r="P72" t="s">
        <v>85</v>
      </c>
      <c r="Q72" t="str">
        <f t="shared" si="17"/>
        <v>Sam's Club</v>
      </c>
    </row>
    <row r="73" spans="1:17" x14ac:dyDescent="0.35">
      <c r="A73" t="s">
        <v>21</v>
      </c>
      <c r="B73" t="s">
        <v>15</v>
      </c>
      <c r="C73" s="17">
        <v>4.78</v>
      </c>
      <c r="D73" s="17">
        <v>4</v>
      </c>
      <c r="E73" s="17" t="str">
        <f t="shared" si="13"/>
        <v>pounds</v>
      </c>
      <c r="F73" s="19">
        <f t="shared" si="10"/>
        <v>1.2</v>
      </c>
      <c r="G73" s="15">
        <v>19.489999999999998</v>
      </c>
      <c r="H73" s="15">
        <v>25</v>
      </c>
      <c r="I73" s="15" t="str">
        <f t="shared" si="14"/>
        <v>pounds</v>
      </c>
      <c r="J73" s="18">
        <f t="shared" si="11"/>
        <v>0.78</v>
      </c>
      <c r="K73" s="23">
        <v>4.95</v>
      </c>
      <c r="L73" s="23">
        <v>5</v>
      </c>
      <c r="M73" s="23" t="str">
        <f t="shared" si="15"/>
        <v>pounds</v>
      </c>
      <c r="N73" s="29">
        <f t="shared" si="12"/>
        <v>0.99</v>
      </c>
      <c r="O73" s="24">
        <f t="shared" si="16"/>
        <v>0.78</v>
      </c>
      <c r="P73" t="s">
        <v>91</v>
      </c>
      <c r="Q73" t="str">
        <f t="shared" si="17"/>
        <v>Costco</v>
      </c>
    </row>
    <row r="74" spans="1:17" x14ac:dyDescent="0.35">
      <c r="A74" t="s">
        <v>165</v>
      </c>
      <c r="B74" t="s">
        <v>73</v>
      </c>
      <c r="C74" s="17">
        <v>7.98</v>
      </c>
      <c r="D74" s="17">
        <f>44*3</f>
        <v>132</v>
      </c>
      <c r="E74" s="17" t="str">
        <f t="shared" si="13"/>
        <v>ounces</v>
      </c>
      <c r="F74" s="19">
        <f t="shared" si="10"/>
        <v>0.06</v>
      </c>
      <c r="G74" s="15">
        <v>9.49</v>
      </c>
      <c r="H74" s="15">
        <f>44*3</f>
        <v>132</v>
      </c>
      <c r="I74" s="15" t="str">
        <f t="shared" si="14"/>
        <v>ounces</v>
      </c>
      <c r="J74" s="18">
        <f t="shared" si="11"/>
        <v>7.0000000000000007E-2</v>
      </c>
      <c r="K74" s="23">
        <v>1.49</v>
      </c>
      <c r="L74" s="23">
        <v>38</v>
      </c>
      <c r="M74" s="23" t="str">
        <f t="shared" si="15"/>
        <v>ounces</v>
      </c>
      <c r="N74" s="29">
        <f t="shared" si="12"/>
        <v>0.04</v>
      </c>
      <c r="O74" s="24">
        <f t="shared" si="16"/>
        <v>0.04</v>
      </c>
      <c r="P74" t="s">
        <v>85</v>
      </c>
      <c r="Q74" t="str">
        <f t="shared" si="17"/>
        <v>Aldi</v>
      </c>
    </row>
    <row r="75" spans="1:17" x14ac:dyDescent="0.35">
      <c r="A75" t="s">
        <v>133</v>
      </c>
      <c r="B75" t="s">
        <v>131</v>
      </c>
      <c r="C75" s="17">
        <v>10.82</v>
      </c>
      <c r="D75" s="17">
        <v>52</v>
      </c>
      <c r="E75" s="17" t="str">
        <f t="shared" si="13"/>
        <v>pounds</v>
      </c>
      <c r="F75" s="19">
        <f t="shared" ref="F75:F106" si="18">ROUND(C75/D75,2)</f>
        <v>0.21</v>
      </c>
      <c r="G75" s="15">
        <v>12.99</v>
      </c>
      <c r="H75" s="15">
        <v>42</v>
      </c>
      <c r="I75" s="15" t="str">
        <f t="shared" si="14"/>
        <v>pounds</v>
      </c>
      <c r="J75" s="18">
        <f t="shared" ref="J75:J106" si="19">ROUND(G75/H75,2)</f>
        <v>0.31</v>
      </c>
      <c r="K75" s="23">
        <v>4.8899999999999997</v>
      </c>
      <c r="L75" s="23">
        <v>14</v>
      </c>
      <c r="M75" s="23" t="str">
        <f t="shared" si="15"/>
        <v>pounds</v>
      </c>
      <c r="N75" s="29">
        <f t="shared" ref="N75:N106" si="20">ROUND(K75/L75,2)</f>
        <v>0.35</v>
      </c>
      <c r="O75" s="24">
        <f t="shared" si="16"/>
        <v>0.21</v>
      </c>
      <c r="P75" t="s">
        <v>91</v>
      </c>
      <c r="Q75" t="str">
        <f t="shared" si="17"/>
        <v>Sam's Club</v>
      </c>
    </row>
    <row r="76" spans="1:17" x14ac:dyDescent="0.35">
      <c r="A76" t="s">
        <v>176</v>
      </c>
      <c r="B76" t="s">
        <v>15</v>
      </c>
      <c r="C76" s="17">
        <v>9.2799999999999994</v>
      </c>
      <c r="D76" s="17">
        <v>25</v>
      </c>
      <c r="E76" s="17" t="str">
        <f t="shared" si="13"/>
        <v>pounds</v>
      </c>
      <c r="F76" s="19">
        <f t="shared" si="18"/>
        <v>0.37</v>
      </c>
      <c r="G76" s="15">
        <v>9.49</v>
      </c>
      <c r="H76" s="15">
        <v>25</v>
      </c>
      <c r="I76" s="15" t="str">
        <f t="shared" si="14"/>
        <v>pounds</v>
      </c>
      <c r="J76" s="18">
        <f t="shared" si="19"/>
        <v>0.38</v>
      </c>
      <c r="K76" s="23">
        <v>1.89</v>
      </c>
      <c r="L76" s="23">
        <v>48</v>
      </c>
      <c r="M76" s="23" t="str">
        <f t="shared" si="15"/>
        <v>pounds</v>
      </c>
      <c r="N76" s="29">
        <f t="shared" si="20"/>
        <v>0.04</v>
      </c>
      <c r="O76" s="24">
        <f t="shared" si="16"/>
        <v>0.04</v>
      </c>
      <c r="P76" t="s">
        <v>91</v>
      </c>
      <c r="Q76" t="str">
        <f t="shared" si="17"/>
        <v>Aldi</v>
      </c>
    </row>
    <row r="77" spans="1:17" x14ac:dyDescent="0.35">
      <c r="A77" t="s">
        <v>41</v>
      </c>
      <c r="B77" t="s">
        <v>42</v>
      </c>
      <c r="C77" s="17">
        <v>14.88</v>
      </c>
      <c r="D77" s="17">
        <v>8</v>
      </c>
      <c r="E77" s="17" t="str">
        <f t="shared" si="13"/>
        <v>boxes</v>
      </c>
      <c r="F77" s="19">
        <f t="shared" si="18"/>
        <v>1.86</v>
      </c>
      <c r="G77" s="15">
        <v>12.89</v>
      </c>
      <c r="H77" s="15">
        <v>18</v>
      </c>
      <c r="I77" s="15" t="str">
        <f t="shared" si="14"/>
        <v>boxes</v>
      </c>
      <c r="J77" s="18">
        <f t="shared" si="19"/>
        <v>0.72</v>
      </c>
      <c r="K77" s="23">
        <v>1.45</v>
      </c>
      <c r="L77" s="23">
        <v>1</v>
      </c>
      <c r="M77" s="23" t="str">
        <f t="shared" si="15"/>
        <v>boxes</v>
      </c>
      <c r="N77" s="29">
        <f t="shared" si="20"/>
        <v>1.45</v>
      </c>
      <c r="O77" s="24">
        <f t="shared" si="16"/>
        <v>0.72</v>
      </c>
      <c r="P77" t="s">
        <v>178</v>
      </c>
      <c r="Q77" t="str">
        <f t="shared" si="17"/>
        <v>Costco</v>
      </c>
    </row>
    <row r="78" spans="1:17" x14ac:dyDescent="0.35">
      <c r="A78" t="s">
        <v>171</v>
      </c>
      <c r="B78" t="s">
        <v>17</v>
      </c>
      <c r="C78" s="17">
        <v>6.48</v>
      </c>
      <c r="D78" s="17">
        <v>5</v>
      </c>
      <c r="E78" s="17" t="str">
        <f t="shared" si="13"/>
        <v>pound</v>
      </c>
      <c r="F78" s="19">
        <f t="shared" si="18"/>
        <v>1.3</v>
      </c>
      <c r="G78" s="15">
        <v>6.39</v>
      </c>
      <c r="H78" s="15">
        <v>5</v>
      </c>
      <c r="I78" s="15" t="str">
        <f t="shared" si="14"/>
        <v>pound</v>
      </c>
      <c r="J78" s="18">
        <f t="shared" si="19"/>
        <v>1.28</v>
      </c>
      <c r="K78" s="23">
        <v>3.99</v>
      </c>
      <c r="L78" s="23">
        <v>3</v>
      </c>
      <c r="M78" s="23" t="str">
        <f t="shared" si="15"/>
        <v>pound</v>
      </c>
      <c r="N78" s="29">
        <f t="shared" si="20"/>
        <v>1.33</v>
      </c>
      <c r="O78" s="24">
        <f t="shared" si="16"/>
        <v>1.28</v>
      </c>
      <c r="P78" t="s">
        <v>76</v>
      </c>
      <c r="Q78" t="str">
        <f t="shared" si="17"/>
        <v>Costco</v>
      </c>
    </row>
    <row r="79" spans="1:17" x14ac:dyDescent="0.35">
      <c r="A79" t="s">
        <v>170</v>
      </c>
      <c r="B79" t="s">
        <v>73</v>
      </c>
      <c r="C79" s="17">
        <v>6.98</v>
      </c>
      <c r="D79" s="17">
        <f>3*32</f>
        <v>96</v>
      </c>
      <c r="E79" s="17" t="str">
        <f t="shared" si="13"/>
        <v>ounces</v>
      </c>
      <c r="F79" s="19">
        <f t="shared" si="18"/>
        <v>7.0000000000000007E-2</v>
      </c>
      <c r="G79" s="15">
        <v>10.99</v>
      </c>
      <c r="H79" s="15">
        <v>56</v>
      </c>
      <c r="I79" s="15" t="str">
        <f t="shared" si="14"/>
        <v>ounces</v>
      </c>
      <c r="J79" s="18">
        <f t="shared" si="19"/>
        <v>0.2</v>
      </c>
      <c r="K79" s="23">
        <v>1.25</v>
      </c>
      <c r="L79" s="23">
        <v>24</v>
      </c>
      <c r="M79" s="23" t="str">
        <f t="shared" si="15"/>
        <v>ounces</v>
      </c>
      <c r="N79" s="29">
        <f t="shared" si="20"/>
        <v>0.05</v>
      </c>
      <c r="O79" s="24">
        <f t="shared" si="16"/>
        <v>0.05</v>
      </c>
      <c r="P79" t="s">
        <v>85</v>
      </c>
      <c r="Q79" t="str">
        <f t="shared" si="17"/>
        <v>Aldi</v>
      </c>
    </row>
    <row r="80" spans="1:17" x14ac:dyDescent="0.35">
      <c r="A80" t="s">
        <v>107</v>
      </c>
      <c r="B80" t="s">
        <v>11</v>
      </c>
      <c r="C80" s="17">
        <v>3.22</v>
      </c>
      <c r="D80" s="17">
        <v>1</v>
      </c>
      <c r="E80" s="17" t="str">
        <f t="shared" si="13"/>
        <v>gallon</v>
      </c>
      <c r="F80" s="19">
        <f t="shared" si="18"/>
        <v>3.22</v>
      </c>
      <c r="G80" s="15">
        <v>3.22</v>
      </c>
      <c r="H80" s="15">
        <v>1</v>
      </c>
      <c r="I80" s="15" t="str">
        <f t="shared" si="14"/>
        <v>gallon</v>
      </c>
      <c r="J80" s="18">
        <f t="shared" si="19"/>
        <v>3.22</v>
      </c>
      <c r="K80" s="23">
        <v>2.98</v>
      </c>
      <c r="L80" s="23">
        <v>1</v>
      </c>
      <c r="M80" s="23" t="str">
        <f t="shared" si="15"/>
        <v>gallon</v>
      </c>
      <c r="N80" s="29">
        <f t="shared" si="20"/>
        <v>2.98</v>
      </c>
      <c r="O80" s="24">
        <f t="shared" si="16"/>
        <v>2.98</v>
      </c>
      <c r="P80" t="s">
        <v>110</v>
      </c>
      <c r="Q80" t="str">
        <f t="shared" si="17"/>
        <v>Aldi</v>
      </c>
    </row>
    <row r="81" spans="1:17" x14ac:dyDescent="0.35">
      <c r="A81" t="s">
        <v>109</v>
      </c>
      <c r="B81" t="s">
        <v>35</v>
      </c>
      <c r="C81" s="17">
        <v>2.92</v>
      </c>
      <c r="D81" s="17">
        <v>1</v>
      </c>
      <c r="E81" s="17" t="str">
        <f t="shared" si="13"/>
        <v>gallon</v>
      </c>
      <c r="F81" s="19">
        <f t="shared" si="18"/>
        <v>2.92</v>
      </c>
      <c r="G81" s="15">
        <v>2.92</v>
      </c>
      <c r="H81" s="15">
        <v>1</v>
      </c>
      <c r="I81" s="15" t="str">
        <f t="shared" si="14"/>
        <v>gallon</v>
      </c>
      <c r="J81" s="18">
        <f t="shared" si="19"/>
        <v>2.92</v>
      </c>
      <c r="K81" s="23">
        <v>2.79</v>
      </c>
      <c r="L81" s="23">
        <v>1</v>
      </c>
      <c r="M81" s="23" t="str">
        <f t="shared" si="15"/>
        <v>gallon</v>
      </c>
      <c r="N81" s="29">
        <f t="shared" si="20"/>
        <v>2.79</v>
      </c>
      <c r="O81" s="24">
        <f t="shared" si="16"/>
        <v>2.79</v>
      </c>
      <c r="P81" t="s">
        <v>110</v>
      </c>
      <c r="Q81" t="str">
        <f t="shared" si="17"/>
        <v>Aldi</v>
      </c>
    </row>
    <row r="82" spans="1:17" x14ac:dyDescent="0.35">
      <c r="A82" t="s">
        <v>108</v>
      </c>
      <c r="B82" t="s">
        <v>11</v>
      </c>
      <c r="C82" s="17">
        <v>3.47</v>
      </c>
      <c r="D82" s="17">
        <v>1</v>
      </c>
      <c r="E82" s="17" t="str">
        <f t="shared" si="13"/>
        <v>gallon</v>
      </c>
      <c r="F82" s="19">
        <f t="shared" si="18"/>
        <v>3.47</v>
      </c>
      <c r="G82" s="15">
        <v>3.47</v>
      </c>
      <c r="H82" s="15">
        <v>1</v>
      </c>
      <c r="I82" s="15" t="str">
        <f t="shared" si="14"/>
        <v>gallon</v>
      </c>
      <c r="J82" s="18">
        <f t="shared" si="19"/>
        <v>3.47</v>
      </c>
      <c r="K82" s="23">
        <v>2.99</v>
      </c>
      <c r="L82" s="23">
        <v>1</v>
      </c>
      <c r="M82" s="23" t="str">
        <f t="shared" si="15"/>
        <v>gallon</v>
      </c>
      <c r="N82" s="29">
        <f t="shared" si="20"/>
        <v>2.99</v>
      </c>
      <c r="O82" s="24">
        <f t="shared" si="16"/>
        <v>2.99</v>
      </c>
      <c r="P82" t="s">
        <v>110</v>
      </c>
      <c r="Q82" t="str">
        <f t="shared" si="17"/>
        <v>Aldi</v>
      </c>
    </row>
    <row r="83" spans="1:17" x14ac:dyDescent="0.35">
      <c r="A83" t="s">
        <v>30</v>
      </c>
      <c r="B83" t="s">
        <v>15</v>
      </c>
      <c r="C83" s="17">
        <v>3.98</v>
      </c>
      <c r="D83" s="17">
        <v>48</v>
      </c>
      <c r="E83" s="17" t="str">
        <f t="shared" si="13"/>
        <v>ounces</v>
      </c>
      <c r="F83" s="19">
        <f t="shared" si="18"/>
        <v>0.08</v>
      </c>
      <c r="G83" s="15">
        <v>4.99</v>
      </c>
      <c r="H83" s="15">
        <v>48</v>
      </c>
      <c r="I83" s="15" t="str">
        <f t="shared" si="14"/>
        <v>ounces</v>
      </c>
      <c r="J83" s="18">
        <f t="shared" si="19"/>
        <v>0.1</v>
      </c>
      <c r="K83" s="23">
        <v>1.79</v>
      </c>
      <c r="L83" s="23">
        <v>8</v>
      </c>
      <c r="M83" s="23" t="str">
        <f t="shared" si="15"/>
        <v>ounces</v>
      </c>
      <c r="N83" s="29">
        <f t="shared" si="20"/>
        <v>0.22</v>
      </c>
      <c r="O83" s="24">
        <f t="shared" si="16"/>
        <v>0.08</v>
      </c>
      <c r="P83" t="s">
        <v>85</v>
      </c>
      <c r="Q83" t="str">
        <f t="shared" si="17"/>
        <v>Sam's Club</v>
      </c>
    </row>
    <row r="84" spans="1:17" x14ac:dyDescent="0.35">
      <c r="A84" t="s">
        <v>188</v>
      </c>
      <c r="B84" t="s">
        <v>151</v>
      </c>
      <c r="C84" s="17">
        <v>11.98</v>
      </c>
      <c r="D84" s="17">
        <v>34</v>
      </c>
      <c r="E84" s="17" t="str">
        <f t="shared" si="13"/>
        <v>ounces</v>
      </c>
      <c r="F84" s="19">
        <f t="shared" si="18"/>
        <v>0.35</v>
      </c>
      <c r="G84" s="15">
        <v>14.79</v>
      </c>
      <c r="H84" s="15">
        <v>40</v>
      </c>
      <c r="I84" s="15" t="str">
        <f t="shared" si="14"/>
        <v>ounces</v>
      </c>
      <c r="J84" s="18">
        <f t="shared" si="19"/>
        <v>0.37</v>
      </c>
      <c r="K84" s="23">
        <v>4.95</v>
      </c>
      <c r="L84" s="23">
        <v>14.75</v>
      </c>
      <c r="M84" s="23" t="str">
        <f t="shared" si="15"/>
        <v>ounces</v>
      </c>
      <c r="N84" s="29">
        <f t="shared" si="20"/>
        <v>0.34</v>
      </c>
      <c r="O84" s="24">
        <f t="shared" si="16"/>
        <v>0.34</v>
      </c>
      <c r="P84" t="s">
        <v>85</v>
      </c>
      <c r="Q84" t="str">
        <f t="shared" si="17"/>
        <v>Aldi</v>
      </c>
    </row>
    <row r="85" spans="1:17" x14ac:dyDescent="0.35">
      <c r="A85" t="s">
        <v>212</v>
      </c>
      <c r="B85" t="s">
        <v>15</v>
      </c>
      <c r="C85" s="17">
        <v>8.3800000000000008</v>
      </c>
      <c r="D85" s="17">
        <v>160</v>
      </c>
      <c r="E85" s="17" t="str">
        <f t="shared" si="13"/>
        <v>ounces</v>
      </c>
      <c r="F85" s="19">
        <f t="shared" si="18"/>
        <v>0.05</v>
      </c>
      <c r="G85" s="15">
        <v>8.39</v>
      </c>
      <c r="H85" s="15">
        <v>160</v>
      </c>
      <c r="I85" s="15" t="str">
        <f t="shared" si="14"/>
        <v>ounces</v>
      </c>
      <c r="J85" s="18">
        <f t="shared" si="19"/>
        <v>0.05</v>
      </c>
      <c r="K85" s="23">
        <v>2.4500000000000002</v>
      </c>
      <c r="L85" s="23">
        <v>42</v>
      </c>
      <c r="M85" s="23" t="str">
        <f t="shared" si="15"/>
        <v>ounces</v>
      </c>
      <c r="N85" s="29">
        <f t="shared" si="20"/>
        <v>0.06</v>
      </c>
      <c r="O85" s="24">
        <f t="shared" si="16"/>
        <v>0.05</v>
      </c>
      <c r="P85" t="s">
        <v>85</v>
      </c>
      <c r="Q85" t="str">
        <f t="shared" si="17"/>
        <v>Costco</v>
      </c>
    </row>
    <row r="86" spans="1:17" x14ac:dyDescent="0.35">
      <c r="A86" t="s">
        <v>40</v>
      </c>
      <c r="B86" t="s">
        <v>15</v>
      </c>
      <c r="C86" s="17">
        <v>10.18</v>
      </c>
      <c r="D86" s="17">
        <v>52</v>
      </c>
      <c r="E86" s="17" t="str">
        <f t="shared" si="13"/>
        <v>count</v>
      </c>
      <c r="F86" s="19">
        <f t="shared" si="18"/>
        <v>0.2</v>
      </c>
      <c r="G86" s="15">
        <v>9.7899999999999991</v>
      </c>
      <c r="H86" s="15">
        <v>52</v>
      </c>
      <c r="I86" s="15" t="str">
        <f t="shared" si="14"/>
        <v>count</v>
      </c>
      <c r="J86" s="18">
        <f t="shared" si="19"/>
        <v>0.19</v>
      </c>
      <c r="K86" s="23">
        <v>1.45</v>
      </c>
      <c r="L86" s="23">
        <v>10</v>
      </c>
      <c r="M86" s="23" t="str">
        <f t="shared" si="15"/>
        <v>count</v>
      </c>
      <c r="N86" s="29">
        <f t="shared" si="20"/>
        <v>0.15</v>
      </c>
      <c r="O86" s="24">
        <f t="shared" si="16"/>
        <v>0.15</v>
      </c>
      <c r="P86" t="s">
        <v>87</v>
      </c>
      <c r="Q86" t="str">
        <f t="shared" si="17"/>
        <v>Aldi</v>
      </c>
    </row>
    <row r="87" spans="1:17" x14ac:dyDescent="0.35">
      <c r="A87" t="s">
        <v>45</v>
      </c>
      <c r="B87" t="s">
        <v>15</v>
      </c>
      <c r="C87" s="17">
        <v>11.96</v>
      </c>
      <c r="D87" s="17">
        <v>3</v>
      </c>
      <c r="E87" s="17" t="str">
        <f t="shared" si="13"/>
        <v>liter</v>
      </c>
      <c r="F87" s="19">
        <f t="shared" si="18"/>
        <v>3.99</v>
      </c>
      <c r="G87" s="15">
        <v>25.99</v>
      </c>
      <c r="H87" s="15">
        <v>6</v>
      </c>
      <c r="I87" s="15" t="str">
        <f t="shared" si="14"/>
        <v>liter</v>
      </c>
      <c r="J87" s="18">
        <f t="shared" si="19"/>
        <v>4.33</v>
      </c>
      <c r="K87" s="23">
        <v>2.4900000000000002</v>
      </c>
      <c r="L87" s="23">
        <f>16.9/34</f>
        <v>0.49705882352941172</v>
      </c>
      <c r="M87" s="23" t="str">
        <f t="shared" si="15"/>
        <v>liter</v>
      </c>
      <c r="N87" s="29">
        <f t="shared" si="20"/>
        <v>5.01</v>
      </c>
      <c r="O87" s="24">
        <f t="shared" si="16"/>
        <v>3.99</v>
      </c>
      <c r="P87" t="s">
        <v>157</v>
      </c>
      <c r="Q87" t="str">
        <f t="shared" si="17"/>
        <v>Sam's Club</v>
      </c>
    </row>
    <row r="88" spans="1:17" x14ac:dyDescent="0.35">
      <c r="A88" t="s">
        <v>78</v>
      </c>
      <c r="B88" t="s">
        <v>17</v>
      </c>
      <c r="C88" s="17">
        <v>7.95</v>
      </c>
      <c r="D88" s="17">
        <v>8</v>
      </c>
      <c r="E88" s="17" t="str">
        <f t="shared" si="13"/>
        <v>pound</v>
      </c>
      <c r="F88" s="19">
        <f t="shared" si="18"/>
        <v>0.99</v>
      </c>
      <c r="G88" s="15">
        <v>8.89</v>
      </c>
      <c r="H88" s="15">
        <v>8</v>
      </c>
      <c r="I88" s="15" t="str">
        <f t="shared" si="14"/>
        <v>pound</v>
      </c>
      <c r="J88" s="18">
        <f t="shared" si="19"/>
        <v>1.1100000000000001</v>
      </c>
      <c r="K88" s="23">
        <v>4.3899999999999997</v>
      </c>
      <c r="L88" s="23">
        <v>4</v>
      </c>
      <c r="M88" s="23" t="str">
        <f t="shared" si="15"/>
        <v>pound</v>
      </c>
      <c r="N88" s="29">
        <f t="shared" si="20"/>
        <v>1.1000000000000001</v>
      </c>
      <c r="O88" s="24">
        <f t="shared" si="16"/>
        <v>0.99</v>
      </c>
      <c r="P88" t="s">
        <v>76</v>
      </c>
      <c r="Q88" t="str">
        <f t="shared" si="17"/>
        <v>Sam's Club</v>
      </c>
    </row>
    <row r="89" spans="1:17" x14ac:dyDescent="0.35">
      <c r="A89" t="s">
        <v>156</v>
      </c>
      <c r="B89" t="s">
        <v>15</v>
      </c>
      <c r="C89" s="17">
        <v>6.14</v>
      </c>
      <c r="D89" s="17">
        <f>160</f>
        <v>160</v>
      </c>
      <c r="E89" s="17" t="str">
        <f t="shared" si="13"/>
        <v>ounces</v>
      </c>
      <c r="F89" s="19">
        <f t="shared" si="18"/>
        <v>0.04</v>
      </c>
      <c r="G89" s="15">
        <v>6.89</v>
      </c>
      <c r="H89" s="15">
        <v>160</v>
      </c>
      <c r="I89" s="15" t="str">
        <f t="shared" si="14"/>
        <v>ounces</v>
      </c>
      <c r="J89" s="18">
        <f t="shared" si="19"/>
        <v>0.04</v>
      </c>
      <c r="K89" s="25">
        <v>1.85</v>
      </c>
      <c r="L89" s="23">
        <v>32</v>
      </c>
      <c r="M89" s="23" t="str">
        <f t="shared" si="15"/>
        <v>ounces</v>
      </c>
      <c r="N89" s="29">
        <f t="shared" si="20"/>
        <v>0.06</v>
      </c>
      <c r="O89" s="24">
        <f t="shared" si="16"/>
        <v>0.04</v>
      </c>
      <c r="P89" t="s">
        <v>85</v>
      </c>
      <c r="Q89" t="str">
        <f t="shared" si="17"/>
        <v>Costco</v>
      </c>
    </row>
    <row r="90" spans="1:17" x14ac:dyDescent="0.35">
      <c r="A90" t="s">
        <v>198</v>
      </c>
      <c r="B90" t="s">
        <v>126</v>
      </c>
      <c r="C90" s="17">
        <v>16.98</v>
      </c>
      <c r="D90" s="17">
        <f>15*150</f>
        <v>2250</v>
      </c>
      <c r="E90" s="17" t="str">
        <f t="shared" si="13"/>
        <v>sheet</v>
      </c>
      <c r="F90" s="19">
        <f t="shared" si="18"/>
        <v>0.01</v>
      </c>
      <c r="I90" s="15" t="str">
        <f t="shared" si="14"/>
        <v>sheet</v>
      </c>
      <c r="J90" s="18" t="e">
        <f t="shared" si="19"/>
        <v>#DIV/0!</v>
      </c>
      <c r="K90" s="23">
        <v>7.19</v>
      </c>
      <c r="L90" s="23">
        <v>696</v>
      </c>
      <c r="M90" s="23" t="str">
        <f t="shared" si="15"/>
        <v>sheet</v>
      </c>
      <c r="N90" s="29">
        <f t="shared" si="20"/>
        <v>0.01</v>
      </c>
      <c r="O90" s="24">
        <f t="shared" si="16"/>
        <v>0.01</v>
      </c>
      <c r="P90" t="s">
        <v>199</v>
      </c>
      <c r="Q90" t="str">
        <f t="shared" si="17"/>
        <v>Aldi</v>
      </c>
    </row>
    <row r="91" spans="1:17" x14ac:dyDescent="0.35">
      <c r="A91" t="s">
        <v>210</v>
      </c>
      <c r="B91" t="s">
        <v>15</v>
      </c>
      <c r="C91" s="17">
        <v>9.77</v>
      </c>
      <c r="D91" s="17">
        <v>96</v>
      </c>
      <c r="E91" s="17" t="str">
        <f t="shared" si="13"/>
        <v>ounces</v>
      </c>
      <c r="F91" s="19">
        <f t="shared" si="18"/>
        <v>0.1</v>
      </c>
      <c r="G91" s="15">
        <v>9.69</v>
      </c>
      <c r="H91" s="15">
        <v>96</v>
      </c>
      <c r="I91" s="15" t="str">
        <f t="shared" si="14"/>
        <v>ounces</v>
      </c>
      <c r="J91" s="18">
        <f t="shared" si="19"/>
        <v>0.1</v>
      </c>
      <c r="K91" s="23">
        <v>3.98</v>
      </c>
      <c r="L91" s="23">
        <v>28</v>
      </c>
      <c r="M91" s="23" t="str">
        <f t="shared" si="15"/>
        <v>ounces</v>
      </c>
      <c r="N91" s="29">
        <f t="shared" si="20"/>
        <v>0.14000000000000001</v>
      </c>
      <c r="O91" s="24">
        <f t="shared" si="16"/>
        <v>0.1</v>
      </c>
      <c r="P91" t="s">
        <v>85</v>
      </c>
      <c r="Q91" t="str">
        <f t="shared" si="17"/>
        <v>Costco</v>
      </c>
    </row>
    <row r="92" spans="1:17" x14ac:dyDescent="0.35">
      <c r="A92" t="s">
        <v>204</v>
      </c>
      <c r="B92" t="s">
        <v>151</v>
      </c>
      <c r="C92" s="17">
        <v>3.82</v>
      </c>
      <c r="D92" s="17">
        <v>34</v>
      </c>
      <c r="E92" s="17" t="str">
        <f t="shared" si="13"/>
        <v>ounces</v>
      </c>
      <c r="F92" s="19">
        <f t="shared" si="18"/>
        <v>0.11</v>
      </c>
      <c r="I92" s="15" t="str">
        <f t="shared" si="14"/>
        <v>ounces</v>
      </c>
      <c r="J92" s="18" t="e">
        <f t="shared" si="19"/>
        <v>#DIV/0!</v>
      </c>
      <c r="K92" s="23">
        <v>1.85</v>
      </c>
      <c r="L92" s="23">
        <v>16</v>
      </c>
      <c r="M92" s="23" t="str">
        <f t="shared" si="15"/>
        <v>ounces</v>
      </c>
      <c r="N92" s="29">
        <f t="shared" si="20"/>
        <v>0.12</v>
      </c>
      <c r="O92" s="24">
        <f t="shared" si="16"/>
        <v>0.11</v>
      </c>
      <c r="P92" t="s">
        <v>85</v>
      </c>
      <c r="Q92" t="str">
        <f t="shared" si="17"/>
        <v>Sam's Club</v>
      </c>
    </row>
    <row r="93" spans="1:17" x14ac:dyDescent="0.35">
      <c r="A93" t="s">
        <v>152</v>
      </c>
      <c r="B93" t="s">
        <v>151</v>
      </c>
      <c r="C93" s="17">
        <v>11.98</v>
      </c>
      <c r="D93" s="17">
        <v>32</v>
      </c>
      <c r="E93" s="17" t="str">
        <f t="shared" si="13"/>
        <v>ounces</v>
      </c>
      <c r="F93" s="19">
        <f t="shared" si="18"/>
        <v>0.37</v>
      </c>
      <c r="G93" s="15">
        <v>12.79</v>
      </c>
      <c r="H93" s="15">
        <v>32</v>
      </c>
      <c r="I93" s="15" t="str">
        <f t="shared" si="14"/>
        <v>ounces</v>
      </c>
      <c r="J93" s="18">
        <f t="shared" si="19"/>
        <v>0.4</v>
      </c>
      <c r="K93" s="23">
        <v>5.09</v>
      </c>
      <c r="L93" s="23">
        <v>10</v>
      </c>
      <c r="M93" s="23" t="str">
        <f t="shared" si="15"/>
        <v>ounces</v>
      </c>
      <c r="N93" s="29">
        <f t="shared" si="20"/>
        <v>0.51</v>
      </c>
      <c r="O93" s="24">
        <f t="shared" si="16"/>
        <v>0.37</v>
      </c>
      <c r="P93" t="s">
        <v>85</v>
      </c>
      <c r="Q93" t="str">
        <f t="shared" si="17"/>
        <v>Sam's Club</v>
      </c>
    </row>
    <row r="94" spans="1:17" x14ac:dyDescent="0.35">
      <c r="A94" t="s">
        <v>136</v>
      </c>
      <c r="B94" t="s">
        <v>28</v>
      </c>
      <c r="C94" s="17">
        <v>9.68</v>
      </c>
      <c r="D94" s="17">
        <v>4</v>
      </c>
      <c r="E94" s="17" t="str">
        <f t="shared" si="13"/>
        <v>count</v>
      </c>
      <c r="F94" s="19">
        <f t="shared" si="18"/>
        <v>2.42</v>
      </c>
      <c r="G94" s="15">
        <v>13.49</v>
      </c>
      <c r="H94" s="15">
        <v>4</v>
      </c>
      <c r="I94" s="15" t="str">
        <f t="shared" si="14"/>
        <v>count</v>
      </c>
      <c r="J94" s="18">
        <f t="shared" si="19"/>
        <v>3.37</v>
      </c>
      <c r="K94" s="23">
        <v>2.39</v>
      </c>
      <c r="L94" s="23">
        <v>1</v>
      </c>
      <c r="M94" s="23" t="str">
        <f t="shared" si="15"/>
        <v>count</v>
      </c>
      <c r="N94" s="29">
        <f t="shared" si="20"/>
        <v>2.39</v>
      </c>
      <c r="O94" s="24">
        <f t="shared" si="16"/>
        <v>2.39</v>
      </c>
      <c r="P94" t="s">
        <v>87</v>
      </c>
      <c r="Q94" t="str">
        <f t="shared" si="17"/>
        <v>Aldi</v>
      </c>
    </row>
    <row r="95" spans="1:17" x14ac:dyDescent="0.35">
      <c r="A95" t="s">
        <v>101</v>
      </c>
      <c r="B95" t="s">
        <v>15</v>
      </c>
      <c r="C95" s="17">
        <v>6.98</v>
      </c>
      <c r="D95" s="17">
        <v>22</v>
      </c>
      <c r="E95" s="17" t="str">
        <f t="shared" si="13"/>
        <v>ounces</v>
      </c>
      <c r="F95" s="19">
        <f t="shared" si="18"/>
        <v>0.32</v>
      </c>
      <c r="G95" s="15">
        <v>9.49</v>
      </c>
      <c r="H95" s="15">
        <v>22</v>
      </c>
      <c r="I95" s="15" t="str">
        <f t="shared" si="14"/>
        <v>ounces</v>
      </c>
      <c r="J95" s="18">
        <f t="shared" si="19"/>
        <v>0.43</v>
      </c>
      <c r="K95" s="23">
        <v>2.25</v>
      </c>
      <c r="L95" s="23">
        <v>6.7</v>
      </c>
      <c r="M95" s="23" t="str">
        <f t="shared" si="15"/>
        <v>ounces</v>
      </c>
      <c r="N95" s="29">
        <f t="shared" si="20"/>
        <v>0.34</v>
      </c>
      <c r="O95" s="24">
        <f t="shared" si="16"/>
        <v>0.32</v>
      </c>
      <c r="P95" t="s">
        <v>85</v>
      </c>
      <c r="Q95" t="str">
        <f t="shared" si="17"/>
        <v>Sam's Club</v>
      </c>
    </row>
    <row r="96" spans="1:17" x14ac:dyDescent="0.35">
      <c r="A96" t="s">
        <v>9</v>
      </c>
      <c r="B96" t="s">
        <v>5</v>
      </c>
      <c r="C96" s="17">
        <v>2.48</v>
      </c>
      <c r="D96" s="17">
        <v>1</v>
      </c>
      <c r="E96" s="17" t="str">
        <f t="shared" si="13"/>
        <v>pound</v>
      </c>
      <c r="F96" s="19">
        <f t="shared" si="18"/>
        <v>2.48</v>
      </c>
      <c r="I96" s="15" t="str">
        <f t="shared" si="14"/>
        <v>pound</v>
      </c>
      <c r="J96" s="18" t="e">
        <f t="shared" si="19"/>
        <v>#DIV/0!</v>
      </c>
      <c r="K96" s="25">
        <v>2.99</v>
      </c>
      <c r="L96" s="23">
        <v>1</v>
      </c>
      <c r="M96" s="23" t="str">
        <f t="shared" si="15"/>
        <v>pound</v>
      </c>
      <c r="N96" s="29">
        <f t="shared" si="20"/>
        <v>2.99</v>
      </c>
      <c r="O96" s="24">
        <f t="shared" si="16"/>
        <v>2.48</v>
      </c>
      <c r="P96" t="s">
        <v>76</v>
      </c>
      <c r="Q96" t="str">
        <f t="shared" si="17"/>
        <v>Sam's Club</v>
      </c>
    </row>
    <row r="97" spans="1:17" x14ac:dyDescent="0.35">
      <c r="A97" t="s">
        <v>202</v>
      </c>
      <c r="B97" t="s">
        <v>96</v>
      </c>
      <c r="C97" s="17">
        <v>1.98</v>
      </c>
      <c r="D97" s="17">
        <v>1</v>
      </c>
      <c r="E97" s="17" t="str">
        <f t="shared" si="13"/>
        <v>pound</v>
      </c>
      <c r="F97" s="19">
        <f t="shared" si="18"/>
        <v>1.98</v>
      </c>
      <c r="I97" s="15" t="str">
        <f t="shared" si="14"/>
        <v>pound</v>
      </c>
      <c r="J97" s="18" t="e">
        <f t="shared" si="19"/>
        <v>#DIV/0!</v>
      </c>
      <c r="K97" s="25">
        <v>3.29</v>
      </c>
      <c r="L97" s="23">
        <v>1</v>
      </c>
      <c r="M97" s="23" t="str">
        <f t="shared" si="15"/>
        <v>pound</v>
      </c>
      <c r="N97" s="29">
        <f t="shared" si="20"/>
        <v>3.29</v>
      </c>
      <c r="O97" s="24">
        <f t="shared" si="16"/>
        <v>1.98</v>
      </c>
      <c r="P97" t="s">
        <v>76</v>
      </c>
      <c r="Q97" t="str">
        <f t="shared" si="17"/>
        <v>Sam's Club</v>
      </c>
    </row>
    <row r="98" spans="1:17" x14ac:dyDescent="0.35">
      <c r="A98" t="s">
        <v>97</v>
      </c>
      <c r="B98" t="s">
        <v>5</v>
      </c>
      <c r="C98" s="17">
        <v>2.08</v>
      </c>
      <c r="D98" s="17">
        <v>1</v>
      </c>
      <c r="E98" s="17" t="str">
        <f t="shared" si="13"/>
        <v>pound</v>
      </c>
      <c r="F98" s="19">
        <f t="shared" si="18"/>
        <v>2.08</v>
      </c>
      <c r="G98" s="15">
        <v>2.09</v>
      </c>
      <c r="H98" s="15">
        <v>1</v>
      </c>
      <c r="I98" s="15" t="str">
        <f t="shared" si="14"/>
        <v>pound</v>
      </c>
      <c r="J98" s="18">
        <f t="shared" si="19"/>
        <v>2.09</v>
      </c>
      <c r="K98" s="25">
        <v>2.39</v>
      </c>
      <c r="L98" s="23">
        <v>1</v>
      </c>
      <c r="M98" s="23" t="str">
        <f t="shared" si="15"/>
        <v>pound</v>
      </c>
      <c r="N98" s="29">
        <f t="shared" si="20"/>
        <v>2.39</v>
      </c>
      <c r="O98" s="24">
        <f t="shared" ref="O98:O129" si="21">MIN(IFERROR(F98,N98),IFERROR(J98,F98),IFERROR(N98,J98))</f>
        <v>2.08</v>
      </c>
      <c r="P98" t="s">
        <v>76</v>
      </c>
      <c r="Q98" t="str">
        <f t="shared" ref="Q98:Q129" si="22">IF(O98=IFERROR(N98,9999),$K$1,IF(O98=IFERROR(J98,9999),$G$1,$C$1))</f>
        <v>Sam's Club</v>
      </c>
    </row>
    <row r="99" spans="1:17" x14ac:dyDescent="0.35">
      <c r="A99" t="s">
        <v>99</v>
      </c>
      <c r="B99" t="s">
        <v>5</v>
      </c>
      <c r="C99" s="17">
        <v>7.22</v>
      </c>
      <c r="D99" s="17">
        <v>3</v>
      </c>
      <c r="E99" s="17" t="str">
        <f t="shared" si="13"/>
        <v>pound</v>
      </c>
      <c r="F99" s="19">
        <f t="shared" si="18"/>
        <v>2.41</v>
      </c>
      <c r="G99" s="15">
        <v>14.99</v>
      </c>
      <c r="H99" s="15">
        <v>5</v>
      </c>
      <c r="I99" s="15" t="str">
        <f t="shared" si="14"/>
        <v>pound</v>
      </c>
      <c r="J99" s="18">
        <f t="shared" si="19"/>
        <v>3</v>
      </c>
      <c r="K99" s="23">
        <v>2.35</v>
      </c>
      <c r="L99" s="23">
        <v>1</v>
      </c>
      <c r="M99" s="23" t="str">
        <f t="shared" si="15"/>
        <v>pound</v>
      </c>
      <c r="N99" s="29">
        <f t="shared" si="20"/>
        <v>2.35</v>
      </c>
      <c r="O99" s="24">
        <f t="shared" si="21"/>
        <v>2.35</v>
      </c>
      <c r="P99" t="s">
        <v>76</v>
      </c>
      <c r="Q99" t="str">
        <f t="shared" si="22"/>
        <v>Aldi</v>
      </c>
    </row>
    <row r="100" spans="1:17" x14ac:dyDescent="0.35">
      <c r="A100" t="s">
        <v>158</v>
      </c>
      <c r="B100" t="s">
        <v>15</v>
      </c>
      <c r="C100" s="17">
        <v>5.38</v>
      </c>
      <c r="D100" s="17">
        <v>7</v>
      </c>
      <c r="E100" s="17" t="str">
        <f t="shared" si="13"/>
        <v>pound</v>
      </c>
      <c r="F100" s="19">
        <f t="shared" si="18"/>
        <v>0.77</v>
      </c>
      <c r="G100" s="15">
        <v>4.59</v>
      </c>
      <c r="H100" s="15">
        <v>7</v>
      </c>
      <c r="I100" s="15" t="str">
        <f t="shared" si="14"/>
        <v>pound</v>
      </c>
      <c r="J100" s="18">
        <f t="shared" si="19"/>
        <v>0.66</v>
      </c>
      <c r="K100" s="23">
        <v>1.39</v>
      </c>
      <c r="L100" s="23">
        <f>12/16</f>
        <v>0.75</v>
      </c>
      <c r="M100" s="23" t="str">
        <f t="shared" si="15"/>
        <v>pound</v>
      </c>
      <c r="N100" s="29">
        <f t="shared" si="20"/>
        <v>1.85</v>
      </c>
      <c r="O100" s="24">
        <f t="shared" si="21"/>
        <v>0.66</v>
      </c>
      <c r="P100" t="s">
        <v>76</v>
      </c>
      <c r="Q100" t="str">
        <f t="shared" si="22"/>
        <v>Costco</v>
      </c>
    </row>
    <row r="101" spans="1:17" x14ac:dyDescent="0.35">
      <c r="A101" t="s">
        <v>185</v>
      </c>
      <c r="B101" t="s">
        <v>73</v>
      </c>
      <c r="C101" s="17">
        <v>8.98</v>
      </c>
      <c r="D101" s="17">
        <f>32*2</f>
        <v>64</v>
      </c>
      <c r="E101" s="17" t="str">
        <f t="shared" si="13"/>
        <v>ounces</v>
      </c>
      <c r="F101" s="19">
        <f t="shared" si="18"/>
        <v>0.14000000000000001</v>
      </c>
      <c r="G101" s="15">
        <v>10.99</v>
      </c>
      <c r="H101" s="15">
        <v>64</v>
      </c>
      <c r="I101" s="15" t="str">
        <f t="shared" si="14"/>
        <v>ounces</v>
      </c>
      <c r="J101" s="18">
        <f t="shared" si="19"/>
        <v>0.17</v>
      </c>
      <c r="K101" s="23">
        <v>2.89</v>
      </c>
      <c r="L101" s="23">
        <v>20</v>
      </c>
      <c r="M101" s="23" t="str">
        <f t="shared" si="15"/>
        <v>ounces</v>
      </c>
      <c r="N101" s="29">
        <f t="shared" si="20"/>
        <v>0.14000000000000001</v>
      </c>
      <c r="O101" s="24">
        <f t="shared" si="21"/>
        <v>0.14000000000000001</v>
      </c>
      <c r="P101" t="s">
        <v>85</v>
      </c>
      <c r="Q101" t="str">
        <f t="shared" si="22"/>
        <v>Aldi</v>
      </c>
    </row>
    <row r="102" spans="1:17" x14ac:dyDescent="0.35">
      <c r="A102" t="s">
        <v>183</v>
      </c>
      <c r="B102" t="s">
        <v>73</v>
      </c>
      <c r="C102" s="17">
        <v>8.3800000000000008</v>
      </c>
      <c r="D102" s="17">
        <v>61.65</v>
      </c>
      <c r="E102" s="17" t="str">
        <f t="shared" si="13"/>
        <v>ounces</v>
      </c>
      <c r="F102" s="19">
        <f t="shared" si="18"/>
        <v>0.14000000000000001</v>
      </c>
      <c r="G102" s="15">
        <v>7.89</v>
      </c>
      <c r="H102" s="15">
        <v>61.6</v>
      </c>
      <c r="I102" s="15" t="str">
        <f t="shared" si="14"/>
        <v>ounces</v>
      </c>
      <c r="J102" s="18">
        <f t="shared" si="19"/>
        <v>0.13</v>
      </c>
      <c r="K102" s="23">
        <v>2.09</v>
      </c>
      <c r="L102" s="23">
        <v>13.7</v>
      </c>
      <c r="M102" s="23" t="str">
        <f t="shared" si="15"/>
        <v>ounces</v>
      </c>
      <c r="N102" s="29">
        <f t="shared" si="20"/>
        <v>0.15</v>
      </c>
      <c r="O102" s="24">
        <f t="shared" si="21"/>
        <v>0.13</v>
      </c>
      <c r="P102" t="s">
        <v>85</v>
      </c>
      <c r="Q102" t="str">
        <f t="shared" si="22"/>
        <v>Costco</v>
      </c>
    </row>
    <row r="103" spans="1:17" x14ac:dyDescent="0.35">
      <c r="A103" t="s">
        <v>20</v>
      </c>
      <c r="B103" t="s">
        <v>17</v>
      </c>
      <c r="C103" s="17">
        <v>4.28</v>
      </c>
      <c r="D103" s="17">
        <v>6</v>
      </c>
      <c r="E103" s="17" t="str">
        <f t="shared" si="13"/>
        <v>count</v>
      </c>
      <c r="F103" s="19">
        <f t="shared" si="18"/>
        <v>0.71</v>
      </c>
      <c r="G103" s="15">
        <v>5.99</v>
      </c>
      <c r="H103" s="15">
        <v>6</v>
      </c>
      <c r="I103" s="15" t="str">
        <f t="shared" si="14"/>
        <v>count</v>
      </c>
      <c r="J103" s="18">
        <f t="shared" si="19"/>
        <v>1</v>
      </c>
      <c r="K103" s="23">
        <v>2.89</v>
      </c>
      <c r="L103" s="23">
        <v>3</v>
      </c>
      <c r="M103" s="23" t="str">
        <f t="shared" si="15"/>
        <v>count</v>
      </c>
      <c r="N103" s="29">
        <f t="shared" si="20"/>
        <v>0.96</v>
      </c>
      <c r="O103" s="24">
        <f t="shared" si="21"/>
        <v>0.71</v>
      </c>
      <c r="P103" t="s">
        <v>87</v>
      </c>
      <c r="Q103" t="str">
        <f t="shared" si="22"/>
        <v>Sam's Club</v>
      </c>
    </row>
    <row r="104" spans="1:17" x14ac:dyDescent="0.35">
      <c r="A104" t="s">
        <v>100</v>
      </c>
      <c r="B104" t="s">
        <v>5</v>
      </c>
      <c r="C104" s="17">
        <v>4.9800000000000004</v>
      </c>
      <c r="D104" s="17">
        <v>1</v>
      </c>
      <c r="E104" s="17" t="str">
        <f t="shared" si="13"/>
        <v>count</v>
      </c>
      <c r="F104" s="19">
        <f t="shared" si="18"/>
        <v>4.9800000000000004</v>
      </c>
      <c r="G104" s="15">
        <v>4.99</v>
      </c>
      <c r="H104" s="15">
        <v>1</v>
      </c>
      <c r="I104" s="15" t="str">
        <f t="shared" si="14"/>
        <v>count</v>
      </c>
      <c r="J104" s="18">
        <f t="shared" si="19"/>
        <v>4.99</v>
      </c>
      <c r="K104" s="23" t="s">
        <v>205</v>
      </c>
      <c r="M104" s="23" t="str">
        <f t="shared" si="15"/>
        <v>count</v>
      </c>
      <c r="N104" s="29" t="e">
        <f t="shared" si="20"/>
        <v>#VALUE!</v>
      </c>
      <c r="O104" s="24">
        <f t="shared" si="21"/>
        <v>4.9800000000000004</v>
      </c>
      <c r="P104" t="s">
        <v>87</v>
      </c>
      <c r="Q104" t="str">
        <f t="shared" si="22"/>
        <v>Sam's Club</v>
      </c>
    </row>
    <row r="105" spans="1:17" x14ac:dyDescent="0.35">
      <c r="A105" t="s">
        <v>166</v>
      </c>
      <c r="B105" t="s">
        <v>73</v>
      </c>
      <c r="C105" s="17">
        <v>6.44</v>
      </c>
      <c r="D105" s="17">
        <f>38*2</f>
        <v>76</v>
      </c>
      <c r="E105" s="17" t="str">
        <f t="shared" si="13"/>
        <v>ounces</v>
      </c>
      <c r="F105" s="19">
        <f t="shared" si="18"/>
        <v>0.08</v>
      </c>
      <c r="G105" s="15">
        <v>7.69</v>
      </c>
      <c r="H105" s="15">
        <f>38*2</f>
        <v>76</v>
      </c>
      <c r="I105" s="15" t="str">
        <f t="shared" si="14"/>
        <v>ounces</v>
      </c>
      <c r="J105" s="18">
        <f t="shared" si="19"/>
        <v>0.1</v>
      </c>
      <c r="K105" s="23">
        <v>1.19</v>
      </c>
      <c r="L105" s="23">
        <v>24</v>
      </c>
      <c r="M105" s="23" t="str">
        <f t="shared" si="15"/>
        <v>ounces</v>
      </c>
      <c r="N105" s="29">
        <f t="shared" si="20"/>
        <v>0.05</v>
      </c>
      <c r="O105" s="24">
        <f t="shared" si="21"/>
        <v>0.05</v>
      </c>
      <c r="P105" t="s">
        <v>85</v>
      </c>
      <c r="Q105" t="str">
        <f t="shared" si="22"/>
        <v>Aldi</v>
      </c>
    </row>
    <row r="106" spans="1:17" x14ac:dyDescent="0.35">
      <c r="A106" t="s">
        <v>10</v>
      </c>
      <c r="B106" t="s">
        <v>11</v>
      </c>
      <c r="C106" s="17">
        <v>12.63</v>
      </c>
      <c r="D106" s="17">
        <v>5</v>
      </c>
      <c r="E106" s="17" t="str">
        <f t="shared" si="13"/>
        <v>pounds</v>
      </c>
      <c r="F106" s="19">
        <f t="shared" si="18"/>
        <v>2.5299999999999998</v>
      </c>
      <c r="G106" s="15">
        <v>12.59</v>
      </c>
      <c r="H106" s="15">
        <v>5</v>
      </c>
      <c r="I106" s="15" t="str">
        <f t="shared" si="14"/>
        <v>pounds</v>
      </c>
      <c r="J106" s="18">
        <f t="shared" si="19"/>
        <v>2.52</v>
      </c>
      <c r="K106" s="23">
        <v>2.59</v>
      </c>
      <c r="L106" s="23">
        <v>1</v>
      </c>
      <c r="M106" s="23" t="str">
        <f t="shared" si="15"/>
        <v>pounds</v>
      </c>
      <c r="N106" s="29">
        <f t="shared" si="20"/>
        <v>2.59</v>
      </c>
      <c r="O106" s="24">
        <f t="shared" si="21"/>
        <v>2.52</v>
      </c>
      <c r="P106" t="s">
        <v>91</v>
      </c>
      <c r="Q106" t="str">
        <f t="shared" si="22"/>
        <v>Costco</v>
      </c>
    </row>
    <row r="107" spans="1:17" x14ac:dyDescent="0.35">
      <c r="A107" t="s">
        <v>139</v>
      </c>
      <c r="B107" t="s">
        <v>11</v>
      </c>
      <c r="C107" s="17">
        <v>12.63</v>
      </c>
      <c r="D107" s="17">
        <v>5</v>
      </c>
      <c r="E107" s="17" t="str">
        <f t="shared" si="13"/>
        <v>pounds</v>
      </c>
      <c r="F107" s="19">
        <f t="shared" ref="F107:F122" si="23">ROUND(C107/D107,2)</f>
        <v>2.5299999999999998</v>
      </c>
      <c r="G107" s="15">
        <v>13.99</v>
      </c>
      <c r="H107" s="15">
        <v>5</v>
      </c>
      <c r="I107" s="15" t="str">
        <f t="shared" si="14"/>
        <v>pounds</v>
      </c>
      <c r="J107" s="18">
        <f t="shared" ref="J107:J122" si="24">ROUND(G107/H107,2)</f>
        <v>2.8</v>
      </c>
      <c r="K107" s="23">
        <v>3.09</v>
      </c>
      <c r="L107" s="23">
        <v>1</v>
      </c>
      <c r="M107" s="23" t="str">
        <f t="shared" si="15"/>
        <v>pounds</v>
      </c>
      <c r="N107" s="29">
        <f t="shared" ref="N107:N122" si="25">ROUND(K107/L107,2)</f>
        <v>3.09</v>
      </c>
      <c r="O107" s="24">
        <f t="shared" si="21"/>
        <v>2.5299999999999998</v>
      </c>
      <c r="P107" t="s">
        <v>91</v>
      </c>
      <c r="Q107" t="str">
        <f t="shared" si="22"/>
        <v>Sam's Club</v>
      </c>
    </row>
    <row r="108" spans="1:17" x14ac:dyDescent="0.35">
      <c r="A108" t="s">
        <v>143</v>
      </c>
      <c r="B108" t="s">
        <v>35</v>
      </c>
      <c r="C108" s="17">
        <v>13.58</v>
      </c>
      <c r="D108" s="17">
        <f>16*5</f>
        <v>80</v>
      </c>
      <c r="E108" s="17" t="str">
        <f t="shared" si="13"/>
        <v>ounces</v>
      </c>
      <c r="F108" s="19">
        <f t="shared" si="23"/>
        <v>0.17</v>
      </c>
      <c r="G108" s="15">
        <v>8.99</v>
      </c>
      <c r="H108" s="15">
        <v>26.5</v>
      </c>
      <c r="I108" s="15" t="str">
        <f t="shared" si="14"/>
        <v>ounces</v>
      </c>
      <c r="J108" s="18">
        <f t="shared" si="24"/>
        <v>0.34</v>
      </c>
      <c r="K108" s="23">
        <v>3.09</v>
      </c>
      <c r="L108" s="23">
        <v>12</v>
      </c>
      <c r="M108" s="23" t="str">
        <f t="shared" si="15"/>
        <v>ounces</v>
      </c>
      <c r="N108" s="29">
        <f t="shared" si="25"/>
        <v>0.26</v>
      </c>
      <c r="O108" s="24">
        <f t="shared" si="21"/>
        <v>0.17</v>
      </c>
      <c r="P108" t="s">
        <v>85</v>
      </c>
      <c r="Q108" t="str">
        <f t="shared" si="22"/>
        <v>Sam's Club</v>
      </c>
    </row>
    <row r="109" spans="1:17" x14ac:dyDescent="0.35">
      <c r="A109" t="s">
        <v>142</v>
      </c>
      <c r="B109" t="s">
        <v>35</v>
      </c>
      <c r="C109" s="17">
        <v>6.37</v>
      </c>
      <c r="D109" s="17">
        <v>2</v>
      </c>
      <c r="E109" s="17" t="str">
        <f t="shared" si="13"/>
        <v>pounds</v>
      </c>
      <c r="F109" s="19">
        <f t="shared" si="23"/>
        <v>3.19</v>
      </c>
      <c r="G109" s="15">
        <v>13.99</v>
      </c>
      <c r="H109" s="15">
        <v>5</v>
      </c>
      <c r="I109" s="15" t="str">
        <f t="shared" si="14"/>
        <v>pounds</v>
      </c>
      <c r="J109" s="18">
        <f t="shared" si="24"/>
        <v>2.8</v>
      </c>
      <c r="K109" s="23">
        <v>3.09</v>
      </c>
      <c r="L109" s="23">
        <v>0.75</v>
      </c>
      <c r="M109" s="23" t="str">
        <f t="shared" si="15"/>
        <v>pounds</v>
      </c>
      <c r="N109" s="29">
        <f t="shared" si="25"/>
        <v>4.12</v>
      </c>
      <c r="O109" s="24">
        <f t="shared" si="21"/>
        <v>2.8</v>
      </c>
      <c r="P109" t="s">
        <v>91</v>
      </c>
      <c r="Q109" t="str">
        <f t="shared" si="22"/>
        <v>Costco</v>
      </c>
    </row>
    <row r="110" spans="1:17" x14ac:dyDescent="0.35">
      <c r="A110" t="s">
        <v>12</v>
      </c>
      <c r="B110" t="s">
        <v>11</v>
      </c>
      <c r="C110" s="17">
        <v>11.97</v>
      </c>
      <c r="D110" s="17">
        <v>80</v>
      </c>
      <c r="E110" s="17" t="str">
        <f t="shared" si="13"/>
        <v>pounds</v>
      </c>
      <c r="F110" s="19">
        <f t="shared" si="23"/>
        <v>0.15</v>
      </c>
      <c r="G110" s="15">
        <v>12.69</v>
      </c>
      <c r="H110" s="15">
        <v>5</v>
      </c>
      <c r="I110" s="15" t="str">
        <f t="shared" si="14"/>
        <v>pounds</v>
      </c>
      <c r="J110" s="18">
        <f t="shared" si="24"/>
        <v>2.54</v>
      </c>
      <c r="K110" s="23">
        <v>2.59</v>
      </c>
      <c r="L110" s="23">
        <v>1</v>
      </c>
      <c r="M110" s="23" t="str">
        <f t="shared" si="15"/>
        <v>pounds</v>
      </c>
      <c r="N110" s="29">
        <f t="shared" si="25"/>
        <v>2.59</v>
      </c>
      <c r="O110" s="24">
        <f t="shared" si="21"/>
        <v>0.15</v>
      </c>
      <c r="P110" t="s">
        <v>91</v>
      </c>
      <c r="Q110" t="str">
        <f t="shared" si="22"/>
        <v>Sam's Club</v>
      </c>
    </row>
    <row r="111" spans="1:17" x14ac:dyDescent="0.35">
      <c r="A111" t="s">
        <v>102</v>
      </c>
      <c r="B111" t="s">
        <v>11</v>
      </c>
      <c r="C111" s="17">
        <v>9.7799999999999994</v>
      </c>
      <c r="D111" s="17">
        <f>16*1.5</f>
        <v>24</v>
      </c>
      <c r="E111" s="17" t="str">
        <f t="shared" si="13"/>
        <v>ounces</v>
      </c>
      <c r="F111" s="19">
        <f t="shared" si="23"/>
        <v>0.41</v>
      </c>
      <c r="G111" s="15">
        <v>14.49</v>
      </c>
      <c r="H111" s="15">
        <v>16</v>
      </c>
      <c r="I111" s="15" t="str">
        <f t="shared" si="14"/>
        <v>ounces</v>
      </c>
      <c r="J111" s="18">
        <f t="shared" si="24"/>
        <v>0.91</v>
      </c>
      <c r="K111" s="23">
        <v>1.99</v>
      </c>
      <c r="M111" s="23" t="str">
        <f t="shared" si="15"/>
        <v>ounces</v>
      </c>
      <c r="N111" s="29" t="e">
        <f t="shared" si="25"/>
        <v>#DIV/0!</v>
      </c>
      <c r="O111" s="24">
        <f t="shared" si="21"/>
        <v>0.41</v>
      </c>
      <c r="P111" t="s">
        <v>85</v>
      </c>
      <c r="Q111" t="str">
        <f t="shared" si="22"/>
        <v>Sam's Club</v>
      </c>
    </row>
    <row r="112" spans="1:17" x14ac:dyDescent="0.35">
      <c r="A112" t="s">
        <v>140</v>
      </c>
      <c r="B112" t="s">
        <v>35</v>
      </c>
      <c r="C112" s="17">
        <v>9.98</v>
      </c>
      <c r="D112" s="17">
        <v>2.5</v>
      </c>
      <c r="E112" s="17" t="str">
        <f t="shared" si="13"/>
        <v>pounds</v>
      </c>
      <c r="F112" s="19">
        <f t="shared" si="23"/>
        <v>3.99</v>
      </c>
      <c r="G112" s="15">
        <v>10.99</v>
      </c>
      <c r="H112" s="15">
        <v>2.5</v>
      </c>
      <c r="I112" s="15" t="str">
        <f t="shared" si="14"/>
        <v>pounds</v>
      </c>
      <c r="J112" s="18">
        <f t="shared" si="24"/>
        <v>4.4000000000000004</v>
      </c>
      <c r="K112" s="23" t="s">
        <v>205</v>
      </c>
      <c r="M112" s="23" t="str">
        <f t="shared" si="15"/>
        <v>pounds</v>
      </c>
      <c r="N112" s="29" t="e">
        <f t="shared" si="25"/>
        <v>#VALUE!</v>
      </c>
      <c r="O112" s="24">
        <f t="shared" si="21"/>
        <v>3.99</v>
      </c>
      <c r="P112" t="s">
        <v>91</v>
      </c>
      <c r="Q112" t="str">
        <f t="shared" si="22"/>
        <v>Sam's Club</v>
      </c>
    </row>
    <row r="113" spans="1:17" x14ac:dyDescent="0.35">
      <c r="A113" t="s">
        <v>111</v>
      </c>
      <c r="B113" t="s">
        <v>11</v>
      </c>
      <c r="C113" s="17">
        <v>3.88</v>
      </c>
      <c r="D113" s="17">
        <v>3</v>
      </c>
      <c r="E113" s="17" t="str">
        <f t="shared" si="13"/>
        <v>pounds</v>
      </c>
      <c r="F113" s="19">
        <f t="shared" si="23"/>
        <v>1.29</v>
      </c>
      <c r="G113" s="15">
        <v>3.9</v>
      </c>
      <c r="H113" s="15">
        <v>3</v>
      </c>
      <c r="I113" s="15" t="str">
        <f t="shared" si="14"/>
        <v>pounds</v>
      </c>
      <c r="J113" s="18">
        <f t="shared" si="24"/>
        <v>1.3</v>
      </c>
      <c r="K113" s="23">
        <v>0.95</v>
      </c>
      <c r="L113" s="23">
        <v>1</v>
      </c>
      <c r="M113" s="23" t="str">
        <f t="shared" si="15"/>
        <v>pounds</v>
      </c>
      <c r="N113" s="29">
        <f t="shared" si="25"/>
        <v>0.95</v>
      </c>
      <c r="O113" s="24">
        <f t="shared" si="21"/>
        <v>0.95</v>
      </c>
      <c r="P113" t="s">
        <v>91</v>
      </c>
      <c r="Q113" t="str">
        <f t="shared" si="22"/>
        <v>Aldi</v>
      </c>
    </row>
    <row r="114" spans="1:17" x14ac:dyDescent="0.35">
      <c r="A114" t="s">
        <v>164</v>
      </c>
      <c r="B114" t="s">
        <v>73</v>
      </c>
      <c r="C114" s="17">
        <v>6.38</v>
      </c>
      <c r="D114" s="17">
        <v>64</v>
      </c>
      <c r="E114" s="17" t="str">
        <f t="shared" si="13"/>
        <v>ounces</v>
      </c>
      <c r="F114" s="19">
        <f t="shared" si="23"/>
        <v>0.1</v>
      </c>
      <c r="G114" s="15">
        <v>5.49</v>
      </c>
      <c r="H114" s="15">
        <v>64</v>
      </c>
      <c r="I114" s="15" t="str">
        <f t="shared" si="14"/>
        <v>ounces</v>
      </c>
      <c r="J114" s="18">
        <f t="shared" si="24"/>
        <v>0.09</v>
      </c>
      <c r="K114" s="23">
        <v>1.35</v>
      </c>
      <c r="L114" s="23">
        <v>15</v>
      </c>
      <c r="M114" s="23" t="str">
        <f t="shared" si="15"/>
        <v>ounces</v>
      </c>
      <c r="N114" s="29">
        <f t="shared" si="25"/>
        <v>0.09</v>
      </c>
      <c r="O114" s="24">
        <f t="shared" si="21"/>
        <v>0.09</v>
      </c>
      <c r="P114" t="s">
        <v>85</v>
      </c>
      <c r="Q114" t="str">
        <f t="shared" si="22"/>
        <v>Aldi</v>
      </c>
    </row>
    <row r="115" spans="1:17" x14ac:dyDescent="0.35">
      <c r="A115" t="s">
        <v>46</v>
      </c>
      <c r="B115" t="s">
        <v>42</v>
      </c>
      <c r="C115" s="17">
        <v>3.98</v>
      </c>
      <c r="D115" s="17">
        <v>6</v>
      </c>
      <c r="E115" s="17" t="str">
        <f t="shared" si="13"/>
        <v>pound</v>
      </c>
      <c r="F115" s="19">
        <f t="shared" si="23"/>
        <v>0.66</v>
      </c>
      <c r="G115" s="15">
        <v>9.99</v>
      </c>
      <c r="H115" s="15">
        <v>10</v>
      </c>
      <c r="I115" s="15" t="str">
        <f t="shared" si="14"/>
        <v>pound</v>
      </c>
      <c r="J115" s="18">
        <f t="shared" si="24"/>
        <v>1</v>
      </c>
      <c r="K115" s="23">
        <v>1.39</v>
      </c>
      <c r="L115" s="23">
        <v>2</v>
      </c>
      <c r="M115" s="23" t="str">
        <f t="shared" si="15"/>
        <v>pound</v>
      </c>
      <c r="N115" s="29">
        <f t="shared" si="25"/>
        <v>0.7</v>
      </c>
      <c r="O115" s="24">
        <f t="shared" si="21"/>
        <v>0.66</v>
      </c>
      <c r="P115" t="s">
        <v>76</v>
      </c>
      <c r="Q115" t="str">
        <f t="shared" si="22"/>
        <v>Sam's Club</v>
      </c>
    </row>
    <row r="116" spans="1:17" x14ac:dyDescent="0.35">
      <c r="A116" t="s">
        <v>83</v>
      </c>
      <c r="B116" t="s">
        <v>17</v>
      </c>
      <c r="C116" s="17">
        <v>3.63</v>
      </c>
      <c r="D116" s="17">
        <v>1</v>
      </c>
      <c r="E116" s="17" t="str">
        <f t="shared" si="13"/>
        <v>pound</v>
      </c>
      <c r="F116" s="19">
        <f t="shared" si="23"/>
        <v>3.63</v>
      </c>
      <c r="G116" s="15">
        <v>3.59</v>
      </c>
      <c r="H116" s="15">
        <v>1</v>
      </c>
      <c r="I116" s="15" t="str">
        <f t="shared" si="14"/>
        <v>pound</v>
      </c>
      <c r="J116" s="18">
        <f t="shared" si="24"/>
        <v>3.59</v>
      </c>
      <c r="K116" s="25">
        <v>1.89</v>
      </c>
      <c r="L116" s="23">
        <v>0.5</v>
      </c>
      <c r="M116" s="23" t="str">
        <f t="shared" si="15"/>
        <v>pound</v>
      </c>
      <c r="N116" s="29">
        <f t="shared" si="25"/>
        <v>3.78</v>
      </c>
      <c r="O116" s="24">
        <f t="shared" si="21"/>
        <v>3.59</v>
      </c>
      <c r="P116" t="s">
        <v>76</v>
      </c>
      <c r="Q116" t="str">
        <f t="shared" si="22"/>
        <v>Costco</v>
      </c>
    </row>
    <row r="117" spans="1:17" x14ac:dyDescent="0.35">
      <c r="A117" t="s">
        <v>23</v>
      </c>
      <c r="B117" t="s">
        <v>22</v>
      </c>
      <c r="C117" s="17">
        <v>6.48</v>
      </c>
      <c r="D117" s="17">
        <v>8</v>
      </c>
      <c r="E117" s="17" t="str">
        <f t="shared" si="13"/>
        <v>cans</v>
      </c>
      <c r="F117" s="19">
        <f t="shared" si="23"/>
        <v>0.81</v>
      </c>
      <c r="I117" s="15" t="str">
        <f t="shared" si="14"/>
        <v>cans</v>
      </c>
      <c r="J117" s="18" t="e">
        <f t="shared" si="24"/>
        <v>#DIV/0!</v>
      </c>
      <c r="K117" s="23">
        <v>0.6</v>
      </c>
      <c r="L117" s="23">
        <v>1</v>
      </c>
      <c r="M117" s="23" t="str">
        <f t="shared" si="15"/>
        <v>cans</v>
      </c>
      <c r="N117" s="29">
        <f t="shared" si="25"/>
        <v>0.6</v>
      </c>
      <c r="O117" s="24">
        <f t="shared" si="21"/>
        <v>0.6</v>
      </c>
      <c r="P117" t="s">
        <v>175</v>
      </c>
      <c r="Q117" t="str">
        <f t="shared" si="22"/>
        <v>Aldi</v>
      </c>
    </row>
    <row r="118" spans="1:17" x14ac:dyDescent="0.35">
      <c r="A118" t="s">
        <v>141</v>
      </c>
      <c r="B118" t="s">
        <v>11</v>
      </c>
      <c r="C118" s="17">
        <v>7.98</v>
      </c>
      <c r="D118" s="17">
        <v>48</v>
      </c>
      <c r="E118" s="17" t="str">
        <f t="shared" si="13"/>
        <v>count</v>
      </c>
      <c r="F118" s="19">
        <f t="shared" si="23"/>
        <v>0.17</v>
      </c>
      <c r="G118" s="15">
        <v>9.99</v>
      </c>
      <c r="H118" s="15">
        <v>60</v>
      </c>
      <c r="I118" s="15" t="str">
        <f t="shared" si="14"/>
        <v>count</v>
      </c>
      <c r="J118" s="18">
        <f t="shared" si="24"/>
        <v>0.17</v>
      </c>
      <c r="K118" s="23">
        <v>3.09</v>
      </c>
      <c r="L118" s="23">
        <v>12</v>
      </c>
      <c r="M118" s="23" t="str">
        <f t="shared" si="15"/>
        <v>count</v>
      </c>
      <c r="N118" s="29">
        <f t="shared" si="25"/>
        <v>0.26</v>
      </c>
      <c r="O118" s="24">
        <f t="shared" si="21"/>
        <v>0.17</v>
      </c>
      <c r="P118" t="s">
        <v>87</v>
      </c>
      <c r="Q118" t="str">
        <f t="shared" si="22"/>
        <v>Costco</v>
      </c>
    </row>
    <row r="119" spans="1:17" x14ac:dyDescent="0.35">
      <c r="A119" t="s">
        <v>36</v>
      </c>
      <c r="B119" t="s">
        <v>15</v>
      </c>
      <c r="C119" s="17">
        <v>4.9800000000000004</v>
      </c>
      <c r="D119" s="17">
        <v>10</v>
      </c>
      <c r="E119" s="17" t="str">
        <f t="shared" si="13"/>
        <v>pound</v>
      </c>
      <c r="F119" s="19">
        <f t="shared" si="23"/>
        <v>0.5</v>
      </c>
      <c r="G119" s="15">
        <v>4.99</v>
      </c>
      <c r="H119" s="15">
        <v>10</v>
      </c>
      <c r="I119" s="15" t="str">
        <f t="shared" si="14"/>
        <v>pound</v>
      </c>
      <c r="J119" s="18">
        <f t="shared" si="24"/>
        <v>0.5</v>
      </c>
      <c r="K119" s="23">
        <v>1.92</v>
      </c>
      <c r="L119" s="23">
        <v>4</v>
      </c>
      <c r="M119" s="23" t="str">
        <f t="shared" si="15"/>
        <v>pound</v>
      </c>
      <c r="N119" s="29">
        <f t="shared" si="25"/>
        <v>0.48</v>
      </c>
      <c r="O119" s="24">
        <f t="shared" si="21"/>
        <v>0.48</v>
      </c>
      <c r="P119" t="s">
        <v>76</v>
      </c>
      <c r="Q119" t="str">
        <f t="shared" si="22"/>
        <v>Aldi</v>
      </c>
    </row>
    <row r="120" spans="1:17" x14ac:dyDescent="0.35">
      <c r="A120" t="s">
        <v>14</v>
      </c>
      <c r="B120" t="s">
        <v>5</v>
      </c>
      <c r="C120" s="17">
        <v>4.9800000000000004</v>
      </c>
      <c r="D120" s="17">
        <v>1.25</v>
      </c>
      <c r="E120" s="17" t="str">
        <f t="shared" si="13"/>
        <v>pound</v>
      </c>
      <c r="F120" s="19">
        <f t="shared" si="23"/>
        <v>3.98</v>
      </c>
      <c r="I120" s="15" t="str">
        <f t="shared" si="14"/>
        <v>pound</v>
      </c>
      <c r="J120" s="18" t="e">
        <f t="shared" si="24"/>
        <v>#DIV/0!</v>
      </c>
      <c r="K120" s="23">
        <v>4.1900000000000004</v>
      </c>
      <c r="L120" s="23">
        <v>1</v>
      </c>
      <c r="M120" s="23" t="str">
        <f t="shared" si="15"/>
        <v>pound</v>
      </c>
      <c r="N120" s="29">
        <f t="shared" si="25"/>
        <v>4.1900000000000004</v>
      </c>
      <c r="O120" s="24">
        <f t="shared" si="21"/>
        <v>3.98</v>
      </c>
      <c r="P120" t="s">
        <v>76</v>
      </c>
      <c r="Q120" t="str">
        <f t="shared" si="22"/>
        <v>Sam's Club</v>
      </c>
    </row>
    <row r="121" spans="1:17" x14ac:dyDescent="0.35">
      <c r="A121" t="s">
        <v>82</v>
      </c>
      <c r="B121" t="s">
        <v>17</v>
      </c>
      <c r="C121" s="17">
        <v>4.4800000000000004</v>
      </c>
      <c r="D121" s="17">
        <v>5</v>
      </c>
      <c r="E121" s="17" t="str">
        <f t="shared" si="13"/>
        <v>pound</v>
      </c>
      <c r="F121" s="19">
        <f t="shared" si="23"/>
        <v>0.9</v>
      </c>
      <c r="G121" s="15">
        <v>5.79</v>
      </c>
      <c r="H121" s="15">
        <v>6.5</v>
      </c>
      <c r="I121" s="15" t="str">
        <f t="shared" si="14"/>
        <v>pound</v>
      </c>
      <c r="J121" s="18">
        <f t="shared" si="24"/>
        <v>0.89</v>
      </c>
      <c r="K121" s="23">
        <v>2.29</v>
      </c>
      <c r="L121" s="23">
        <v>3</v>
      </c>
      <c r="M121" s="23" t="str">
        <f t="shared" si="15"/>
        <v>pound</v>
      </c>
      <c r="N121" s="29">
        <f t="shared" si="25"/>
        <v>0.76</v>
      </c>
      <c r="O121" s="24">
        <f t="shared" si="21"/>
        <v>0.76</v>
      </c>
      <c r="P121" t="s">
        <v>76</v>
      </c>
      <c r="Q121" t="str">
        <f t="shared" si="22"/>
        <v>Aldi</v>
      </c>
    </row>
    <row r="122" spans="1:17" x14ac:dyDescent="0.35">
      <c r="A122" t="s">
        <v>116</v>
      </c>
      <c r="B122" t="s">
        <v>114</v>
      </c>
      <c r="C122" s="17">
        <v>12.86</v>
      </c>
      <c r="D122" s="17">
        <f>12*80</f>
        <v>960</v>
      </c>
      <c r="E122" s="17" t="str">
        <f t="shared" si="13"/>
        <v>tissues</v>
      </c>
      <c r="F122" s="19">
        <f t="shared" si="23"/>
        <v>0.01</v>
      </c>
      <c r="G122" s="15">
        <v>14.99</v>
      </c>
      <c r="H122" s="15">
        <f>12*84</f>
        <v>1008</v>
      </c>
      <c r="I122" s="15" t="str">
        <f t="shared" si="14"/>
        <v>tissues</v>
      </c>
      <c r="J122" s="18">
        <f t="shared" si="24"/>
        <v>0.01</v>
      </c>
      <c r="K122" s="23">
        <v>0.99</v>
      </c>
      <c r="L122" s="23">
        <v>144</v>
      </c>
      <c r="M122" s="23" t="str">
        <f t="shared" si="15"/>
        <v>tissues</v>
      </c>
      <c r="N122" s="29">
        <f t="shared" si="25"/>
        <v>0.01</v>
      </c>
      <c r="O122" s="24">
        <f t="shared" si="21"/>
        <v>0.01</v>
      </c>
      <c r="P122" t="s">
        <v>116</v>
      </c>
      <c r="Q122" t="str">
        <f t="shared" si="22"/>
        <v>Aldi</v>
      </c>
    </row>
    <row r="123" spans="1:17" x14ac:dyDescent="0.35">
      <c r="A123" t="s">
        <v>113</v>
      </c>
      <c r="B123" t="s">
        <v>114</v>
      </c>
      <c r="C123" s="17">
        <v>19.98</v>
      </c>
      <c r="D123" s="17">
        <f>45*235</f>
        <v>10575</v>
      </c>
      <c r="E123" s="17" t="str">
        <f t="shared" si="13"/>
        <v xml:space="preserve">squares </v>
      </c>
      <c r="F123" s="35">
        <f>ROUND(C123/D123,6)</f>
        <v>1.8890000000000001E-3</v>
      </c>
      <c r="G123" s="15">
        <v>17.989999999999998</v>
      </c>
      <c r="H123" s="15">
        <f>30*380</f>
        <v>11400</v>
      </c>
      <c r="I123" s="15" t="str">
        <f t="shared" si="14"/>
        <v xml:space="preserve">squares </v>
      </c>
      <c r="J123" s="34">
        <f>ROUND(G123/H123,6)</f>
        <v>1.578E-3</v>
      </c>
      <c r="K123" s="23">
        <v>5.29</v>
      </c>
      <c r="L123" s="23">
        <f>12*254</f>
        <v>3048</v>
      </c>
      <c r="M123" s="23" t="str">
        <f t="shared" si="15"/>
        <v xml:space="preserve">squares </v>
      </c>
      <c r="N123" s="33">
        <f>ROUND(K123/L123,6)</f>
        <v>1.7359999999999999E-3</v>
      </c>
      <c r="O123" s="36">
        <f t="shared" si="21"/>
        <v>1.578E-3</v>
      </c>
      <c r="P123" t="s">
        <v>115</v>
      </c>
      <c r="Q123" t="str">
        <f t="shared" si="22"/>
        <v>Costco</v>
      </c>
    </row>
    <row r="124" spans="1:17" x14ac:dyDescent="0.35">
      <c r="A124" t="s">
        <v>26</v>
      </c>
      <c r="B124" t="s">
        <v>22</v>
      </c>
      <c r="C124" s="17">
        <v>5.52</v>
      </c>
      <c r="D124" s="17">
        <f>12*6</f>
        <v>72</v>
      </c>
      <c r="E124" s="17" t="str">
        <f t="shared" si="13"/>
        <v>ounces</v>
      </c>
      <c r="F124" s="19">
        <f t="shared" ref="F124:F145" si="26">ROUND(C124/D124,2)</f>
        <v>0.08</v>
      </c>
      <c r="G124" s="15">
        <v>6.99</v>
      </c>
      <c r="H124" s="15">
        <f>12*6</f>
        <v>72</v>
      </c>
      <c r="I124" s="15" t="str">
        <f t="shared" si="14"/>
        <v>ounces</v>
      </c>
      <c r="J124" s="18">
        <f t="shared" ref="J124:J145" si="27">ROUND(G124/H124,2)</f>
        <v>0.1</v>
      </c>
      <c r="K124" s="23">
        <v>0.45</v>
      </c>
      <c r="L124" s="23">
        <v>6</v>
      </c>
      <c r="M124" s="23" t="str">
        <f t="shared" si="15"/>
        <v>ounces</v>
      </c>
      <c r="N124" s="29">
        <f t="shared" ref="N124:N145" si="28">ROUND(K124/L124,2)</f>
        <v>0.08</v>
      </c>
      <c r="O124" s="24">
        <f t="shared" si="21"/>
        <v>0.08</v>
      </c>
      <c r="P124" t="s">
        <v>85</v>
      </c>
      <c r="Q124" t="str">
        <f t="shared" si="22"/>
        <v>Aldi</v>
      </c>
    </row>
    <row r="125" spans="1:17" x14ac:dyDescent="0.35">
      <c r="A125" t="s">
        <v>201</v>
      </c>
      <c r="B125" t="s">
        <v>175</v>
      </c>
      <c r="C125" s="17">
        <v>4.9800000000000004</v>
      </c>
      <c r="D125" s="17">
        <f>15*8</f>
        <v>120</v>
      </c>
      <c r="E125" s="17" t="str">
        <f t="shared" si="13"/>
        <v>ounces</v>
      </c>
      <c r="F125" s="19">
        <f t="shared" si="26"/>
        <v>0.04</v>
      </c>
      <c r="I125" s="15" t="str">
        <f t="shared" si="14"/>
        <v>ounces</v>
      </c>
      <c r="J125" s="18" t="e">
        <f t="shared" si="27"/>
        <v>#DIV/0!</v>
      </c>
      <c r="K125" s="23">
        <v>0.31</v>
      </c>
      <c r="L125" s="23">
        <v>8</v>
      </c>
      <c r="M125" s="23" t="str">
        <f t="shared" si="15"/>
        <v>ounces</v>
      </c>
      <c r="N125" s="29">
        <f t="shared" si="28"/>
        <v>0.04</v>
      </c>
      <c r="O125" s="24">
        <f t="shared" si="21"/>
        <v>0.04</v>
      </c>
      <c r="P125" t="s">
        <v>85</v>
      </c>
      <c r="Q125" t="str">
        <f t="shared" si="22"/>
        <v>Aldi</v>
      </c>
    </row>
    <row r="126" spans="1:17" x14ac:dyDescent="0.35">
      <c r="A126" t="s">
        <v>211</v>
      </c>
      <c r="B126" t="s">
        <v>17</v>
      </c>
      <c r="C126" s="17">
        <v>4.13</v>
      </c>
      <c r="D126" s="17">
        <v>3</v>
      </c>
      <c r="E126" s="17" t="str">
        <f t="shared" si="13"/>
        <v>pound</v>
      </c>
      <c r="F126" s="19">
        <f t="shared" si="26"/>
        <v>1.38</v>
      </c>
      <c r="I126" s="15" t="str">
        <f t="shared" si="14"/>
        <v>pound</v>
      </c>
      <c r="J126" s="18" t="e">
        <f t="shared" si="27"/>
        <v>#DIV/0!</v>
      </c>
      <c r="K126" s="23">
        <v>2.4900000000000002</v>
      </c>
      <c r="L126" s="23">
        <v>1</v>
      </c>
      <c r="M126" s="23" t="str">
        <f t="shared" si="15"/>
        <v>pound</v>
      </c>
      <c r="N126" s="29">
        <f t="shared" si="28"/>
        <v>2.4900000000000002</v>
      </c>
      <c r="O126" s="24">
        <f t="shared" si="21"/>
        <v>1.38</v>
      </c>
      <c r="P126" t="s">
        <v>76</v>
      </c>
      <c r="Q126" t="str">
        <f t="shared" si="22"/>
        <v>Sam's Club</v>
      </c>
    </row>
    <row r="127" spans="1:17" x14ac:dyDescent="0.35">
      <c r="A127" t="s">
        <v>31</v>
      </c>
      <c r="B127" t="s">
        <v>15</v>
      </c>
      <c r="C127" s="17">
        <v>9.7799999999999994</v>
      </c>
      <c r="D127" s="17">
        <v>96</v>
      </c>
      <c r="E127" s="17" t="str">
        <f t="shared" si="13"/>
        <v>ounces</v>
      </c>
      <c r="F127" s="19">
        <f t="shared" si="26"/>
        <v>0.1</v>
      </c>
      <c r="G127" s="15">
        <v>4.49</v>
      </c>
      <c r="H127" s="15">
        <v>48</v>
      </c>
      <c r="I127" s="15" t="str">
        <f t="shared" si="14"/>
        <v>ounces</v>
      </c>
      <c r="J127" s="18">
        <f t="shared" si="27"/>
        <v>0.09</v>
      </c>
      <c r="K127" s="23">
        <v>1.25</v>
      </c>
      <c r="L127" s="23">
        <v>13</v>
      </c>
      <c r="M127" s="23" t="str">
        <f t="shared" si="15"/>
        <v>ounces</v>
      </c>
      <c r="N127" s="29">
        <f t="shared" si="28"/>
        <v>0.1</v>
      </c>
      <c r="O127" s="24">
        <f t="shared" si="21"/>
        <v>0.09</v>
      </c>
      <c r="P127" t="s">
        <v>85</v>
      </c>
      <c r="Q127" t="str">
        <f t="shared" si="22"/>
        <v>Costco</v>
      </c>
    </row>
    <row r="128" spans="1:17" x14ac:dyDescent="0.35">
      <c r="A128" t="s">
        <v>186</v>
      </c>
      <c r="B128" t="s">
        <v>93</v>
      </c>
      <c r="C128" s="17">
        <v>5.33</v>
      </c>
      <c r="D128" s="17">
        <v>40</v>
      </c>
      <c r="E128" s="17" t="str">
        <f t="shared" si="13"/>
        <v>count</v>
      </c>
      <c r="F128" s="19">
        <f t="shared" si="26"/>
        <v>0.13</v>
      </c>
      <c r="G128" s="15">
        <v>3.99</v>
      </c>
      <c r="H128" s="15">
        <v>30</v>
      </c>
      <c r="I128" s="15" t="str">
        <f t="shared" si="14"/>
        <v>count</v>
      </c>
      <c r="J128" s="18">
        <f t="shared" si="27"/>
        <v>0.13</v>
      </c>
      <c r="K128" s="23">
        <v>1.39</v>
      </c>
      <c r="L128" s="23">
        <v>10</v>
      </c>
      <c r="M128" s="23" t="str">
        <f t="shared" si="15"/>
        <v>count</v>
      </c>
      <c r="N128" s="29">
        <f t="shared" si="28"/>
        <v>0.14000000000000001</v>
      </c>
      <c r="O128" s="24">
        <f t="shared" si="21"/>
        <v>0.13</v>
      </c>
      <c r="P128" t="s">
        <v>87</v>
      </c>
      <c r="Q128" t="str">
        <f t="shared" si="22"/>
        <v>Costco</v>
      </c>
    </row>
    <row r="129" spans="1:17" x14ac:dyDescent="0.35">
      <c r="A129" t="s">
        <v>122</v>
      </c>
      <c r="B129" t="s">
        <v>126</v>
      </c>
      <c r="C129" s="17">
        <v>17.98</v>
      </c>
      <c r="D129" s="17">
        <v>200</v>
      </c>
      <c r="E129" s="17" t="str">
        <f t="shared" si="13"/>
        <v>bags</v>
      </c>
      <c r="F129" s="19">
        <f t="shared" si="26"/>
        <v>0.09</v>
      </c>
      <c r="G129" s="15">
        <v>17.989999999999998</v>
      </c>
      <c r="H129" s="15">
        <v>200</v>
      </c>
      <c r="I129" s="15" t="str">
        <f t="shared" si="14"/>
        <v>bags</v>
      </c>
      <c r="J129" s="18">
        <f t="shared" si="27"/>
        <v>0.09</v>
      </c>
      <c r="K129" s="23">
        <v>5.39</v>
      </c>
      <c r="L129" s="23">
        <v>45</v>
      </c>
      <c r="M129" s="23" t="str">
        <f t="shared" si="15"/>
        <v>bags</v>
      </c>
      <c r="N129" s="29">
        <f t="shared" si="28"/>
        <v>0.12</v>
      </c>
      <c r="O129" s="24">
        <f t="shared" si="21"/>
        <v>0.09</v>
      </c>
      <c r="P129" t="s">
        <v>123</v>
      </c>
      <c r="Q129" t="str">
        <f t="shared" si="22"/>
        <v>Costco</v>
      </c>
    </row>
    <row r="130" spans="1:17" x14ac:dyDescent="0.35">
      <c r="A130" t="s">
        <v>137</v>
      </c>
      <c r="B130" t="s">
        <v>28</v>
      </c>
      <c r="C130" s="17">
        <v>8.48</v>
      </c>
      <c r="D130" s="17">
        <v>36</v>
      </c>
      <c r="E130" s="17" t="str">
        <f t="shared" ref="E130:E145" si="29">P130</f>
        <v>count</v>
      </c>
      <c r="F130" s="19">
        <f t="shared" si="26"/>
        <v>0.24</v>
      </c>
      <c r="G130" s="15">
        <v>9.99</v>
      </c>
      <c r="H130" s="15">
        <v>48</v>
      </c>
      <c r="I130" s="15" t="str">
        <f t="shared" ref="I130:I145" si="30">P130</f>
        <v>count</v>
      </c>
      <c r="J130" s="18">
        <f t="shared" si="27"/>
        <v>0.21</v>
      </c>
      <c r="K130" s="23" t="s">
        <v>205</v>
      </c>
      <c r="M130" s="23" t="str">
        <f t="shared" ref="M130:M145" si="31">P130</f>
        <v>count</v>
      </c>
      <c r="N130" s="29" t="e">
        <f t="shared" si="28"/>
        <v>#VALUE!</v>
      </c>
      <c r="O130" s="24">
        <f t="shared" ref="O130:O145" si="32">MIN(IFERROR(F130,N130),IFERROR(J130,F130),IFERROR(N130,J130))</f>
        <v>0.21</v>
      </c>
      <c r="P130" t="s">
        <v>87</v>
      </c>
      <c r="Q130" t="str">
        <f t="shared" ref="Q130:Q145" si="33">IF(O130=IFERROR(N130,9999),$K$1,IF(O130=IFERROR(J130,9999),$G$1,$C$1))</f>
        <v>Costco</v>
      </c>
    </row>
    <row r="131" spans="1:17" x14ac:dyDescent="0.35">
      <c r="A131" t="s">
        <v>34</v>
      </c>
      <c r="B131" t="s">
        <v>35</v>
      </c>
      <c r="C131" s="17">
        <v>10.48</v>
      </c>
      <c r="D131" s="17">
        <v>4</v>
      </c>
      <c r="E131" s="17" t="str">
        <f t="shared" si="29"/>
        <v>pounds</v>
      </c>
      <c r="F131" s="19">
        <f t="shared" si="26"/>
        <v>2.62</v>
      </c>
      <c r="G131" s="15">
        <v>9.69</v>
      </c>
      <c r="H131" s="15">
        <v>4</v>
      </c>
      <c r="I131" s="15" t="str">
        <f t="shared" si="30"/>
        <v>pounds</v>
      </c>
      <c r="J131" s="18">
        <f t="shared" si="27"/>
        <v>2.42</v>
      </c>
      <c r="K131" s="23">
        <v>2.89</v>
      </c>
      <c r="L131" s="23">
        <v>1</v>
      </c>
      <c r="M131" s="23" t="str">
        <f t="shared" si="31"/>
        <v>pounds</v>
      </c>
      <c r="N131" s="29">
        <f t="shared" si="28"/>
        <v>2.89</v>
      </c>
      <c r="O131" s="24">
        <f t="shared" si="32"/>
        <v>2.42</v>
      </c>
      <c r="P131" t="s">
        <v>91</v>
      </c>
      <c r="Q131" t="str">
        <f t="shared" si="33"/>
        <v>Costco</v>
      </c>
    </row>
    <row r="132" spans="1:17" x14ac:dyDescent="0.35">
      <c r="A132" t="s">
        <v>39</v>
      </c>
      <c r="B132" t="s">
        <v>15</v>
      </c>
      <c r="C132" s="17">
        <v>6.18</v>
      </c>
      <c r="D132" s="17">
        <f>46*3</f>
        <v>138</v>
      </c>
      <c r="E132" s="17" t="str">
        <f t="shared" si="29"/>
        <v>ounces</v>
      </c>
      <c r="F132" s="19">
        <f t="shared" si="26"/>
        <v>0.04</v>
      </c>
      <c r="I132" s="15" t="str">
        <f t="shared" si="30"/>
        <v>ounces</v>
      </c>
      <c r="J132" s="18" t="e">
        <f t="shared" si="27"/>
        <v>#DIV/0!</v>
      </c>
      <c r="K132" s="23">
        <v>1.95</v>
      </c>
      <c r="L132" s="23">
        <v>46</v>
      </c>
      <c r="M132" s="23" t="str">
        <f t="shared" si="31"/>
        <v>ounces</v>
      </c>
      <c r="N132" s="29">
        <f t="shared" si="28"/>
        <v>0.04</v>
      </c>
      <c r="O132" s="24">
        <f t="shared" si="32"/>
        <v>0.04</v>
      </c>
      <c r="P132" t="s">
        <v>85</v>
      </c>
      <c r="Q132" t="str">
        <f t="shared" si="33"/>
        <v>Aldi</v>
      </c>
    </row>
    <row r="133" spans="1:17" x14ac:dyDescent="0.35">
      <c r="A133" t="s">
        <v>155</v>
      </c>
      <c r="B133" t="s">
        <v>15</v>
      </c>
      <c r="C133" s="17">
        <v>20.58</v>
      </c>
      <c r="D133" s="17">
        <v>12</v>
      </c>
      <c r="E133" s="17" t="str">
        <f t="shared" si="29"/>
        <v>ounces</v>
      </c>
      <c r="F133" s="19">
        <f t="shared" si="26"/>
        <v>1.72</v>
      </c>
      <c r="G133" s="15">
        <v>13.99</v>
      </c>
      <c r="H133" s="15">
        <v>16</v>
      </c>
      <c r="I133" s="15" t="str">
        <f t="shared" si="30"/>
        <v>ounces</v>
      </c>
      <c r="J133" s="18">
        <f t="shared" si="27"/>
        <v>0.87</v>
      </c>
      <c r="K133" s="23">
        <v>3.49</v>
      </c>
      <c r="L133" s="23">
        <v>2</v>
      </c>
      <c r="M133" s="23" t="str">
        <f t="shared" si="31"/>
        <v>ounces</v>
      </c>
      <c r="N133" s="29">
        <f t="shared" si="28"/>
        <v>1.75</v>
      </c>
      <c r="O133" s="24">
        <f t="shared" si="32"/>
        <v>0.87</v>
      </c>
      <c r="P133" t="s">
        <v>85</v>
      </c>
      <c r="Q133" t="str">
        <f t="shared" si="33"/>
        <v>Costco</v>
      </c>
    </row>
    <row r="134" spans="1:17" x14ac:dyDescent="0.35">
      <c r="A134" t="s">
        <v>32</v>
      </c>
      <c r="B134" t="s">
        <v>11</v>
      </c>
      <c r="C134" s="17">
        <v>4.9800000000000004</v>
      </c>
      <c r="D134" s="17">
        <f>40/16</f>
        <v>2.5</v>
      </c>
      <c r="E134" s="17" t="str">
        <f t="shared" si="29"/>
        <v>pounds</v>
      </c>
      <c r="F134" s="19">
        <f t="shared" si="26"/>
        <v>1.99</v>
      </c>
      <c r="G134" s="15">
        <v>5.59</v>
      </c>
      <c r="H134" s="15">
        <v>3</v>
      </c>
      <c r="I134" s="15" t="str">
        <f t="shared" si="30"/>
        <v>pounds</v>
      </c>
      <c r="J134" s="18">
        <f t="shared" si="27"/>
        <v>1.86</v>
      </c>
      <c r="K134" s="23">
        <v>3.35</v>
      </c>
      <c r="L134" s="23">
        <v>2</v>
      </c>
      <c r="M134" s="23" t="str">
        <f t="shared" si="31"/>
        <v>pounds</v>
      </c>
      <c r="N134" s="29">
        <f t="shared" si="28"/>
        <v>1.68</v>
      </c>
      <c r="O134" s="24">
        <f t="shared" si="32"/>
        <v>1.68</v>
      </c>
      <c r="P134" t="s">
        <v>91</v>
      </c>
      <c r="Q134" t="str">
        <f t="shared" si="33"/>
        <v>Aldi</v>
      </c>
    </row>
    <row r="135" spans="1:17" x14ac:dyDescent="0.35">
      <c r="A135" t="s">
        <v>168</v>
      </c>
      <c r="B135" t="s">
        <v>11</v>
      </c>
      <c r="C135" s="17">
        <v>12.22</v>
      </c>
      <c r="D135" s="17">
        <v>4</v>
      </c>
      <c r="E135" s="17" t="str">
        <f t="shared" si="29"/>
        <v>pounds</v>
      </c>
      <c r="F135" s="19">
        <f t="shared" si="26"/>
        <v>3.06</v>
      </c>
      <c r="G135" s="15">
        <v>10.99</v>
      </c>
      <c r="H135" s="15">
        <v>4</v>
      </c>
      <c r="I135" s="15" t="str">
        <f t="shared" si="30"/>
        <v>pounds</v>
      </c>
      <c r="J135" s="18">
        <f t="shared" si="27"/>
        <v>2.75</v>
      </c>
      <c r="K135" s="23" t="s">
        <v>205</v>
      </c>
      <c r="M135" s="23" t="str">
        <f t="shared" si="31"/>
        <v>pounds</v>
      </c>
      <c r="N135" s="29" t="e">
        <f t="shared" si="28"/>
        <v>#VALUE!</v>
      </c>
      <c r="O135" s="24">
        <f t="shared" si="32"/>
        <v>2.75</v>
      </c>
      <c r="P135" t="s">
        <v>91</v>
      </c>
      <c r="Q135" t="str">
        <f t="shared" si="33"/>
        <v>Costco</v>
      </c>
    </row>
    <row r="136" spans="1:17" x14ac:dyDescent="0.35">
      <c r="A136" t="s">
        <v>167</v>
      </c>
      <c r="B136" t="s">
        <v>73</v>
      </c>
      <c r="C136" s="17">
        <v>4.9800000000000004</v>
      </c>
      <c r="D136" s="17">
        <v>2</v>
      </c>
      <c r="E136" s="17" t="str">
        <f t="shared" si="29"/>
        <v>gallon</v>
      </c>
      <c r="F136" s="19">
        <f t="shared" si="26"/>
        <v>2.4900000000000002</v>
      </c>
      <c r="G136" s="15">
        <v>3.29</v>
      </c>
      <c r="H136" s="15">
        <v>1.32</v>
      </c>
      <c r="I136" s="15" t="str">
        <f t="shared" si="30"/>
        <v>gallon</v>
      </c>
      <c r="J136" s="18">
        <f t="shared" si="27"/>
        <v>2.4900000000000002</v>
      </c>
      <c r="K136" s="25">
        <v>2.95</v>
      </c>
      <c r="L136" s="23">
        <v>1</v>
      </c>
      <c r="M136" s="23" t="str">
        <f t="shared" si="31"/>
        <v>gallon</v>
      </c>
      <c r="N136" s="29">
        <f t="shared" si="28"/>
        <v>2.95</v>
      </c>
      <c r="O136" s="24">
        <f t="shared" si="32"/>
        <v>2.4900000000000002</v>
      </c>
      <c r="P136" t="s">
        <v>110</v>
      </c>
      <c r="Q136" t="str">
        <f t="shared" si="33"/>
        <v>Costco</v>
      </c>
    </row>
    <row r="137" spans="1:17" x14ac:dyDescent="0.35">
      <c r="A137" t="s">
        <v>154</v>
      </c>
      <c r="B137" t="s">
        <v>151</v>
      </c>
      <c r="C137" s="17">
        <v>11.98</v>
      </c>
      <c r="D137" s="17">
        <f>3*16</f>
        <v>48</v>
      </c>
      <c r="E137" s="17" t="str">
        <f t="shared" si="29"/>
        <v>ounces</v>
      </c>
      <c r="F137" s="19">
        <f t="shared" si="26"/>
        <v>0.25</v>
      </c>
      <c r="G137" s="15">
        <v>11.99</v>
      </c>
      <c r="H137" s="15">
        <v>48</v>
      </c>
      <c r="I137" s="15" t="str">
        <f t="shared" si="30"/>
        <v>ounces</v>
      </c>
      <c r="J137" s="18">
        <f t="shared" si="27"/>
        <v>0.25</v>
      </c>
      <c r="K137" s="23">
        <v>5.29</v>
      </c>
      <c r="L137" s="23">
        <v>16</v>
      </c>
      <c r="M137" s="23" t="str">
        <f t="shared" si="31"/>
        <v>ounces</v>
      </c>
      <c r="N137" s="29">
        <f t="shared" si="28"/>
        <v>0.33</v>
      </c>
      <c r="O137" s="24">
        <f t="shared" si="32"/>
        <v>0.25</v>
      </c>
      <c r="P137" t="s">
        <v>85</v>
      </c>
      <c r="Q137" t="str">
        <f t="shared" si="33"/>
        <v>Costco</v>
      </c>
    </row>
    <row r="138" spans="1:17" x14ac:dyDescent="0.35">
      <c r="A138" t="s">
        <v>119</v>
      </c>
      <c r="B138" t="s">
        <v>120</v>
      </c>
      <c r="C138" s="17">
        <v>3.18</v>
      </c>
      <c r="D138" s="17">
        <v>40</v>
      </c>
      <c r="E138" s="17" t="str">
        <f t="shared" si="29"/>
        <v>bottles</v>
      </c>
      <c r="F138" s="19">
        <f t="shared" si="26"/>
        <v>0.08</v>
      </c>
      <c r="G138" s="15">
        <v>3.19</v>
      </c>
      <c r="H138" s="15">
        <v>40</v>
      </c>
      <c r="I138" s="15" t="str">
        <f t="shared" si="30"/>
        <v>bottles</v>
      </c>
      <c r="J138" s="18">
        <f t="shared" si="27"/>
        <v>0.08</v>
      </c>
      <c r="K138" s="23">
        <v>3.19</v>
      </c>
      <c r="L138" s="23">
        <v>24</v>
      </c>
      <c r="M138" s="23" t="str">
        <f t="shared" si="31"/>
        <v>bottles</v>
      </c>
      <c r="N138" s="29">
        <f t="shared" si="28"/>
        <v>0.13</v>
      </c>
      <c r="O138" s="24">
        <f t="shared" si="32"/>
        <v>0.08</v>
      </c>
      <c r="P138" t="s">
        <v>121</v>
      </c>
      <c r="Q138" t="str">
        <f t="shared" si="33"/>
        <v>Costco</v>
      </c>
    </row>
    <row r="139" spans="1:17" x14ac:dyDescent="0.35">
      <c r="A139" t="s">
        <v>16</v>
      </c>
      <c r="B139" t="s">
        <v>17</v>
      </c>
      <c r="C139" s="17">
        <v>5.48</v>
      </c>
      <c r="D139" s="17">
        <v>6</v>
      </c>
      <c r="E139" s="17" t="str">
        <f t="shared" si="29"/>
        <v>pound</v>
      </c>
      <c r="F139" s="19">
        <f t="shared" si="26"/>
        <v>0.91</v>
      </c>
      <c r="I139" s="15" t="str">
        <f t="shared" si="30"/>
        <v>pound</v>
      </c>
      <c r="J139" s="18" t="e">
        <f t="shared" si="27"/>
        <v>#DIV/0!</v>
      </c>
      <c r="K139" s="25">
        <v>1.89</v>
      </c>
      <c r="L139" s="23">
        <v>2</v>
      </c>
      <c r="M139" s="23" t="str">
        <f t="shared" si="31"/>
        <v>pound</v>
      </c>
      <c r="N139" s="29">
        <f t="shared" si="28"/>
        <v>0.95</v>
      </c>
      <c r="O139" s="24">
        <f t="shared" si="32"/>
        <v>0.91</v>
      </c>
      <c r="P139" t="s">
        <v>76</v>
      </c>
      <c r="Q139" t="str">
        <f t="shared" si="33"/>
        <v>Sam's Club</v>
      </c>
    </row>
    <row r="140" spans="1:17" x14ac:dyDescent="0.35">
      <c r="A140" t="s">
        <v>153</v>
      </c>
      <c r="B140" t="s">
        <v>151</v>
      </c>
      <c r="C140" s="17">
        <v>13.68</v>
      </c>
      <c r="D140" s="17">
        <v>40</v>
      </c>
      <c r="E140" s="17" t="str">
        <f t="shared" si="29"/>
        <v>ounces</v>
      </c>
      <c r="F140" s="19">
        <f t="shared" si="26"/>
        <v>0.34</v>
      </c>
      <c r="G140" s="15">
        <v>9.99</v>
      </c>
      <c r="H140" s="15">
        <v>48</v>
      </c>
      <c r="I140" s="15" t="str">
        <f t="shared" si="30"/>
        <v>ounces</v>
      </c>
      <c r="J140" s="18">
        <f t="shared" si="27"/>
        <v>0.21</v>
      </c>
      <c r="K140" s="23">
        <v>2.79</v>
      </c>
      <c r="L140" s="23">
        <v>6</v>
      </c>
      <c r="M140" s="23" t="str">
        <f t="shared" si="31"/>
        <v>ounces</v>
      </c>
      <c r="N140" s="29">
        <f t="shared" si="28"/>
        <v>0.47</v>
      </c>
      <c r="O140" s="24">
        <f t="shared" si="32"/>
        <v>0.21</v>
      </c>
      <c r="P140" t="s">
        <v>85</v>
      </c>
      <c r="Q140" t="str">
        <f t="shared" si="33"/>
        <v>Costco</v>
      </c>
    </row>
    <row r="141" spans="1:17" x14ac:dyDescent="0.35">
      <c r="A141" t="s">
        <v>8</v>
      </c>
      <c r="B141" t="s">
        <v>5</v>
      </c>
      <c r="C141" s="17">
        <v>10.19</v>
      </c>
      <c r="D141" s="17">
        <v>9.61</v>
      </c>
      <c r="E141" s="17" t="str">
        <f t="shared" si="29"/>
        <v>pound</v>
      </c>
      <c r="F141" s="19">
        <f t="shared" si="26"/>
        <v>1.06</v>
      </c>
      <c r="G141" s="15">
        <v>0.99</v>
      </c>
      <c r="H141" s="15">
        <v>1</v>
      </c>
      <c r="I141" s="15" t="str">
        <f t="shared" si="30"/>
        <v>pound</v>
      </c>
      <c r="J141" s="18">
        <f t="shared" si="27"/>
        <v>0.99</v>
      </c>
      <c r="K141" s="23">
        <v>10.43</v>
      </c>
      <c r="L141" s="23">
        <v>10</v>
      </c>
      <c r="M141" s="23" t="str">
        <f t="shared" si="31"/>
        <v>pound</v>
      </c>
      <c r="N141" s="29">
        <f t="shared" si="28"/>
        <v>1.04</v>
      </c>
      <c r="O141" s="24">
        <f t="shared" si="32"/>
        <v>0.99</v>
      </c>
      <c r="P141" t="s">
        <v>76</v>
      </c>
      <c r="Q141" t="str">
        <f t="shared" si="33"/>
        <v>Costco</v>
      </c>
    </row>
    <row r="142" spans="1:17" x14ac:dyDescent="0.35">
      <c r="A142" t="s">
        <v>162</v>
      </c>
      <c r="B142" t="s">
        <v>163</v>
      </c>
      <c r="C142" s="17">
        <v>7.48</v>
      </c>
      <c r="D142" s="17">
        <f>2*20</f>
        <v>40</v>
      </c>
      <c r="E142" s="17" t="str">
        <f t="shared" si="29"/>
        <v>ounces</v>
      </c>
      <c r="F142" s="19">
        <f t="shared" si="26"/>
        <v>0.19</v>
      </c>
      <c r="G142" s="15">
        <v>7.69</v>
      </c>
      <c r="H142" s="15">
        <v>40</v>
      </c>
      <c r="I142" s="15" t="str">
        <f t="shared" si="30"/>
        <v>ounces</v>
      </c>
      <c r="J142" s="18">
        <f t="shared" si="27"/>
        <v>0.19</v>
      </c>
      <c r="K142" s="25">
        <v>1.0900000000000001</v>
      </c>
      <c r="L142" s="23">
        <v>10</v>
      </c>
      <c r="M142" s="23" t="str">
        <f t="shared" si="31"/>
        <v>ounces</v>
      </c>
      <c r="N142" s="29">
        <f t="shared" si="28"/>
        <v>0.11</v>
      </c>
      <c r="O142" s="24">
        <f t="shared" si="32"/>
        <v>0.11</v>
      </c>
      <c r="P142" t="s">
        <v>85</v>
      </c>
      <c r="Q142" t="str">
        <f t="shared" si="33"/>
        <v>Aldi</v>
      </c>
    </row>
    <row r="143" spans="1:17" x14ac:dyDescent="0.35">
      <c r="A143" t="s">
        <v>18</v>
      </c>
      <c r="B143" t="s">
        <v>17</v>
      </c>
      <c r="C143" s="17">
        <v>7.48</v>
      </c>
      <c r="D143" s="17">
        <v>10</v>
      </c>
      <c r="E143" s="17" t="str">
        <f t="shared" si="29"/>
        <v>pounds</v>
      </c>
      <c r="F143" s="19">
        <f t="shared" si="26"/>
        <v>0.75</v>
      </c>
      <c r="G143" s="15">
        <v>7.39</v>
      </c>
      <c r="H143" s="15">
        <v>10</v>
      </c>
      <c r="I143" s="15" t="str">
        <f t="shared" si="30"/>
        <v>pounds</v>
      </c>
      <c r="J143" s="18">
        <f t="shared" si="27"/>
        <v>0.74</v>
      </c>
      <c r="K143" s="25">
        <v>2.19</v>
      </c>
      <c r="L143" s="23">
        <v>3</v>
      </c>
      <c r="M143" s="23" t="str">
        <f t="shared" si="31"/>
        <v>pounds</v>
      </c>
      <c r="N143" s="29">
        <f t="shared" si="28"/>
        <v>0.73</v>
      </c>
      <c r="O143" s="24">
        <f t="shared" si="32"/>
        <v>0.73</v>
      </c>
      <c r="P143" t="s">
        <v>91</v>
      </c>
      <c r="Q143" t="str">
        <f t="shared" si="33"/>
        <v>Aldi</v>
      </c>
    </row>
    <row r="144" spans="1:17" x14ac:dyDescent="0.35">
      <c r="A144" t="s">
        <v>70</v>
      </c>
      <c r="B144" t="s">
        <v>73</v>
      </c>
      <c r="C144" s="17">
        <v>14.98</v>
      </c>
      <c r="D144" s="17">
        <f>4*38</f>
        <v>152</v>
      </c>
      <c r="E144" s="17" t="str">
        <f t="shared" si="29"/>
        <v>bag</v>
      </c>
      <c r="F144" s="19">
        <f t="shared" si="26"/>
        <v>0.1</v>
      </c>
      <c r="G144" s="15">
        <v>14.99</v>
      </c>
      <c r="H144" s="15">
        <f>4*38</f>
        <v>152</v>
      </c>
      <c r="I144" s="15" t="str">
        <f t="shared" si="30"/>
        <v>bag</v>
      </c>
      <c r="J144" s="18">
        <f t="shared" si="27"/>
        <v>0.1</v>
      </c>
      <c r="K144" s="23">
        <v>1.89</v>
      </c>
      <c r="L144" s="23">
        <v>39</v>
      </c>
      <c r="M144" s="23" t="str">
        <f t="shared" si="31"/>
        <v>bag</v>
      </c>
      <c r="N144" s="29">
        <f t="shared" si="28"/>
        <v>0.05</v>
      </c>
      <c r="O144" s="24">
        <f t="shared" si="32"/>
        <v>0.05</v>
      </c>
      <c r="P144" t="s">
        <v>75</v>
      </c>
      <c r="Q144" t="str">
        <f t="shared" si="33"/>
        <v>Aldi</v>
      </c>
    </row>
    <row r="145" spans="1:17" x14ac:dyDescent="0.35">
      <c r="A145" t="s">
        <v>69</v>
      </c>
      <c r="B145" t="s">
        <v>73</v>
      </c>
      <c r="C145" s="17">
        <v>14.38</v>
      </c>
      <c r="D145" s="17">
        <f>4*54</f>
        <v>216</v>
      </c>
      <c r="E145" s="17" t="str">
        <f t="shared" si="29"/>
        <v>bag</v>
      </c>
      <c r="F145" s="19">
        <f t="shared" si="26"/>
        <v>7.0000000000000007E-2</v>
      </c>
      <c r="G145" s="15">
        <v>13.99</v>
      </c>
      <c r="H145" s="15">
        <f>4*54</f>
        <v>216</v>
      </c>
      <c r="I145" s="15" t="str">
        <f t="shared" si="30"/>
        <v>bag</v>
      </c>
      <c r="J145" s="18">
        <f t="shared" si="27"/>
        <v>0.06</v>
      </c>
      <c r="K145" s="23">
        <v>1.89</v>
      </c>
      <c r="L145" s="23">
        <v>40</v>
      </c>
      <c r="M145" s="23" t="str">
        <f t="shared" si="31"/>
        <v>bag</v>
      </c>
      <c r="N145" s="29">
        <f t="shared" si="28"/>
        <v>0.05</v>
      </c>
      <c r="O145" s="24">
        <f t="shared" si="32"/>
        <v>0.05</v>
      </c>
      <c r="P145" t="s">
        <v>75</v>
      </c>
      <c r="Q145" t="str">
        <f t="shared" si="33"/>
        <v>Aldi</v>
      </c>
    </row>
  </sheetData>
  <autoFilter ref="A1:Q1">
    <sortState ref="A2:Q145">
      <sortCondition ref="A1"/>
    </sortState>
  </autoFilter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3" sqref="I3"/>
    </sheetView>
  </sheetViews>
  <sheetFormatPr defaultRowHeight="14.5" x14ac:dyDescent="0.35"/>
  <cols>
    <col min="1" max="1" width="23.36328125" bestFit="1" customWidth="1"/>
    <col min="2" max="2" width="12" style="6" customWidth="1"/>
    <col min="3" max="4" width="12" style="7" customWidth="1"/>
    <col min="5" max="7" width="12" style="7" hidden="1" customWidth="1"/>
    <col min="8" max="8" width="12" style="8" hidden="1" customWidth="1"/>
    <col min="9" max="9" width="12" style="9" customWidth="1"/>
    <col min="10" max="10" width="14.6328125" style="6" customWidth="1"/>
    <col min="11" max="11" width="13.1796875" style="8" customWidth="1"/>
    <col min="12" max="12" width="14.6328125" style="6" customWidth="1"/>
    <col min="13" max="13" width="13.1796875" style="8" customWidth="1"/>
  </cols>
  <sheetData>
    <row r="1" spans="1:13" s="2" customFormat="1" x14ac:dyDescent="0.35">
      <c r="B1" s="39" t="s">
        <v>57</v>
      </c>
      <c r="C1" s="40"/>
      <c r="D1" s="40"/>
      <c r="E1" s="40"/>
      <c r="F1" s="40"/>
      <c r="G1" s="40"/>
      <c r="H1" s="41"/>
      <c r="I1" s="10" t="s">
        <v>58</v>
      </c>
      <c r="J1" s="39" t="s">
        <v>59</v>
      </c>
      <c r="K1" s="40"/>
      <c r="L1" s="42" t="s">
        <v>59</v>
      </c>
      <c r="M1" s="43"/>
    </row>
    <row r="2" spans="1:13" s="2" customFormat="1" ht="29" x14ac:dyDescent="0.35">
      <c r="A2" s="11" t="s">
        <v>0</v>
      </c>
      <c r="B2" s="12" t="s">
        <v>47</v>
      </c>
      <c r="C2" s="13" t="s">
        <v>214</v>
      </c>
      <c r="D2" s="13" t="s">
        <v>48</v>
      </c>
      <c r="E2" s="13" t="s">
        <v>217</v>
      </c>
      <c r="F2" s="13" t="s">
        <v>218</v>
      </c>
      <c r="G2" s="13" t="s">
        <v>215</v>
      </c>
      <c r="H2" s="14" t="s">
        <v>51</v>
      </c>
      <c r="I2" s="12" t="s">
        <v>54</v>
      </c>
      <c r="J2" s="12" t="s">
        <v>56</v>
      </c>
      <c r="K2" s="13" t="s">
        <v>53</v>
      </c>
      <c r="L2" s="12" t="s">
        <v>64</v>
      </c>
      <c r="M2" s="13" t="s">
        <v>65</v>
      </c>
    </row>
    <row r="3" spans="1:13" x14ac:dyDescent="0.35">
      <c r="A3" t="s">
        <v>149</v>
      </c>
      <c r="B3" s="26">
        <f>VLOOKUP(A3,'Price Master List'!A:Q,15,FALSE)</f>
        <v>0.37</v>
      </c>
      <c r="C3" s="27" t="str">
        <f>VLOOKUP(A3,'Price Master List'!A:Q,16,FALSE)</f>
        <v>count</v>
      </c>
      <c r="D3" s="5" t="str">
        <f>VLOOKUP(A3,'Price Master List'!A:Q,17,FALSE)</f>
        <v>Sam's Club</v>
      </c>
      <c r="E3" s="27">
        <f>IFERROR(VLOOKUP(A3,'Price Master List'!A:N,6,FALSE),0)</f>
        <v>0.37</v>
      </c>
      <c r="F3" s="27">
        <f>IFERROR(VLOOKUP(A3,'Price Master List'!A:N,10),0)</f>
        <v>0.4</v>
      </c>
      <c r="G3" s="27">
        <f>IFERROR(VLOOKUP(A3,'Price Master List'!A:N,14,FALSE),0)</f>
        <v>0</v>
      </c>
      <c r="H3" s="28">
        <f t="shared" ref="H3:H34" si="0">IF(G3=0,0,G3-B3)</f>
        <v>0</v>
      </c>
      <c r="I3" s="38">
        <v>0</v>
      </c>
      <c r="J3" s="3">
        <f t="shared" ref="J3:J34" si="1">IF(D3="Sam's Club",H3*I3*12,0)</f>
        <v>0</v>
      </c>
      <c r="K3" s="4">
        <f t="shared" ref="K3:K34" si="2">IF(D3="Costco",H3*I3*12,0)</f>
        <v>0</v>
      </c>
      <c r="L3" s="3">
        <f t="shared" ref="L3:L34" si="3">IF(E3&gt;0,IF(G3&gt;0,IF(G3&gt;E3,(G3-E3)*I3*12,0),0),0)</f>
        <v>0</v>
      </c>
      <c r="M3" s="4">
        <f t="shared" ref="M3:M34" si="4">IF(F3&gt;0,IF(G3&gt;0,IF(G3&gt;F3,(G3-F3)*I3*12,0),0),0)</f>
        <v>0</v>
      </c>
    </row>
    <row r="4" spans="1:13" x14ac:dyDescent="0.35">
      <c r="A4" t="s">
        <v>192</v>
      </c>
      <c r="B4" s="26">
        <f>VLOOKUP(A4,'Price Master List'!A:Q,15,FALSE)</f>
        <v>0.05</v>
      </c>
      <c r="C4" s="27" t="str">
        <f>VLOOKUP(A4,'Price Master List'!A:Q,16,FALSE)</f>
        <v>count</v>
      </c>
      <c r="D4" s="5" t="str">
        <f>VLOOKUP(A4,'Price Master List'!A:Q,17,FALSE)</f>
        <v>Costco</v>
      </c>
      <c r="E4" s="27">
        <f>IFERROR(VLOOKUP(A4,'Price Master List'!A:N,6,FALSE),0)</f>
        <v>0.09</v>
      </c>
      <c r="F4" s="27">
        <f>IFERROR(VLOOKUP(A4,'Price Master List'!A:N,10),0)</f>
        <v>0.05</v>
      </c>
      <c r="G4" s="27">
        <f>IFERROR(VLOOKUP(A4,'Price Master List'!A:N,14,FALSE),0)</f>
        <v>0</v>
      </c>
      <c r="H4" s="28">
        <f t="shared" si="0"/>
        <v>0</v>
      </c>
      <c r="I4" s="38">
        <v>0</v>
      </c>
      <c r="J4" s="3">
        <f t="shared" si="1"/>
        <v>0</v>
      </c>
      <c r="K4" s="4">
        <f t="shared" si="2"/>
        <v>0</v>
      </c>
      <c r="L4" s="3">
        <f t="shared" si="3"/>
        <v>0</v>
      </c>
      <c r="M4" s="4">
        <f t="shared" si="4"/>
        <v>0</v>
      </c>
    </row>
    <row r="5" spans="1:13" x14ac:dyDescent="0.35">
      <c r="A5" t="s">
        <v>172</v>
      </c>
      <c r="B5" s="26">
        <f>VLOOKUP(A5,'Price Master List'!A:Q,15,FALSE)</f>
        <v>0.14000000000000001</v>
      </c>
      <c r="C5" s="27" t="str">
        <f>VLOOKUP(A5,'Price Master List'!A:Q,16,FALSE)</f>
        <v>ounces</v>
      </c>
      <c r="D5" s="5" t="str">
        <f>VLOOKUP(A5,'Price Master List'!A:Q,17,FALSE)</f>
        <v>Aldi</v>
      </c>
      <c r="E5" s="27">
        <f>IFERROR(VLOOKUP(A5,'Price Master List'!A:N,6,FALSE),0)</f>
        <v>0.14000000000000001</v>
      </c>
      <c r="F5" s="27">
        <f>IFERROR(VLOOKUP(A5,'Price Master List'!A:N,10),0)</f>
        <v>0.22</v>
      </c>
      <c r="G5" s="27">
        <f>IFERROR(VLOOKUP(A5,'Price Master List'!A:N,14,FALSE),0)</f>
        <v>0.14000000000000001</v>
      </c>
      <c r="H5" s="28">
        <f t="shared" si="0"/>
        <v>0</v>
      </c>
      <c r="I5" s="38">
        <v>0</v>
      </c>
      <c r="J5" s="3">
        <f t="shared" si="1"/>
        <v>0</v>
      </c>
      <c r="K5" s="4">
        <f t="shared" si="2"/>
        <v>0</v>
      </c>
      <c r="L5" s="3">
        <f t="shared" si="3"/>
        <v>0</v>
      </c>
      <c r="M5" s="4">
        <f t="shared" si="4"/>
        <v>0</v>
      </c>
    </row>
    <row r="6" spans="1:13" x14ac:dyDescent="0.35">
      <c r="A6" t="s">
        <v>128</v>
      </c>
      <c r="B6" s="26">
        <f>VLOOKUP(A6,'Price Master List'!A:Q,15,FALSE)</f>
        <v>0.06</v>
      </c>
      <c r="C6" s="27" t="str">
        <f>VLOOKUP(A6,'Price Master List'!A:Q,16,FALSE)</f>
        <v>ounces</v>
      </c>
      <c r="D6" s="5" t="str">
        <f>VLOOKUP(A6,'Price Master List'!A:Q,17,FALSE)</f>
        <v>Costco</v>
      </c>
      <c r="E6" s="27">
        <f>IFERROR(VLOOKUP(A6,'Price Master List'!A:N,6,FALSE),0)</f>
        <v>0.06</v>
      </c>
      <c r="F6" s="27">
        <f>IFERROR(VLOOKUP(A6,'Price Master List'!A:N,10),0)</f>
        <v>0.06</v>
      </c>
      <c r="G6" s="27">
        <f>IFERROR(VLOOKUP(A6,'Price Master List'!A:N,14,FALSE),0)</f>
        <v>0</v>
      </c>
      <c r="H6" s="28">
        <f t="shared" si="0"/>
        <v>0</v>
      </c>
      <c r="I6" s="38">
        <v>0</v>
      </c>
      <c r="J6" s="3">
        <f t="shared" si="1"/>
        <v>0</v>
      </c>
      <c r="K6" s="4">
        <f t="shared" si="2"/>
        <v>0</v>
      </c>
      <c r="L6" s="3">
        <f t="shared" si="3"/>
        <v>0</v>
      </c>
      <c r="M6" s="4">
        <f t="shared" si="4"/>
        <v>0</v>
      </c>
    </row>
    <row r="7" spans="1:13" x14ac:dyDescent="0.35">
      <c r="A7" t="s">
        <v>150</v>
      </c>
      <c r="B7" s="26">
        <f>VLOOKUP(A7,'Price Master List'!A:Q,15,FALSE)</f>
        <v>0.02</v>
      </c>
      <c r="C7" s="27" t="str">
        <f>VLOOKUP(A7,'Price Master List'!A:Q,16,FALSE)</f>
        <v>ounces</v>
      </c>
      <c r="D7" s="5" t="str">
        <f>VLOOKUP(A7,'Price Master List'!A:Q,17,FALSE)</f>
        <v>Aldi</v>
      </c>
      <c r="E7" s="27">
        <f>IFERROR(VLOOKUP(A7,'Price Master List'!A:N,6,FALSE),0)</f>
        <v>0</v>
      </c>
      <c r="F7" s="27">
        <f>IFERROR(VLOOKUP(A7,'Price Master List'!A:N,10),0)</f>
        <v>0.03</v>
      </c>
      <c r="G7" s="27">
        <f>IFERROR(VLOOKUP(A7,'Price Master List'!A:N,14,FALSE),0)</f>
        <v>0.02</v>
      </c>
      <c r="H7" s="28">
        <f t="shared" si="0"/>
        <v>0</v>
      </c>
      <c r="I7" s="38">
        <v>0</v>
      </c>
      <c r="J7" s="3">
        <f t="shared" si="1"/>
        <v>0</v>
      </c>
      <c r="K7" s="4">
        <f t="shared" si="2"/>
        <v>0</v>
      </c>
      <c r="L7" s="3">
        <f t="shared" si="3"/>
        <v>0</v>
      </c>
      <c r="M7" s="4">
        <f t="shared" si="4"/>
        <v>0</v>
      </c>
    </row>
    <row r="8" spans="1:13" x14ac:dyDescent="0.35">
      <c r="A8" t="s">
        <v>184</v>
      </c>
      <c r="B8" s="26">
        <f>VLOOKUP(A8,'Price Master List'!A:Q,15,FALSE)</f>
        <v>0.37</v>
      </c>
      <c r="C8" s="27" t="str">
        <f>VLOOKUP(A8,'Price Master List'!A:Q,16,FALSE)</f>
        <v>count</v>
      </c>
      <c r="D8" s="5" t="str">
        <f>VLOOKUP(A8,'Price Master List'!A:Q,17,FALSE)</f>
        <v>Aldi</v>
      </c>
      <c r="E8" s="27">
        <f>IFERROR(VLOOKUP(A8,'Price Master List'!A:N,6,FALSE),0)</f>
        <v>0.41</v>
      </c>
      <c r="F8" s="27">
        <f>IFERROR(VLOOKUP(A8,'Price Master List'!A:N,10),0)</f>
        <v>0.4</v>
      </c>
      <c r="G8" s="27">
        <f>IFERROR(VLOOKUP(A8,'Price Master List'!A:N,14,FALSE),0)</f>
        <v>0.37</v>
      </c>
      <c r="H8" s="28">
        <f t="shared" si="0"/>
        <v>0</v>
      </c>
      <c r="I8" s="38">
        <v>0</v>
      </c>
      <c r="J8" s="3">
        <f t="shared" si="1"/>
        <v>0</v>
      </c>
      <c r="K8" s="4">
        <f t="shared" si="2"/>
        <v>0</v>
      </c>
      <c r="L8" s="3">
        <f t="shared" si="3"/>
        <v>0</v>
      </c>
      <c r="M8" s="4">
        <f t="shared" si="4"/>
        <v>0</v>
      </c>
    </row>
    <row r="9" spans="1:13" x14ac:dyDescent="0.35">
      <c r="A9" t="s">
        <v>84</v>
      </c>
      <c r="B9" s="26">
        <f>VLOOKUP(A9,'Price Master List'!A:Q,15,FALSE)</f>
        <v>0.18</v>
      </c>
      <c r="C9" s="27" t="str">
        <f>VLOOKUP(A9,'Price Master List'!A:Q,16,FALSE)</f>
        <v>ounces</v>
      </c>
      <c r="D9" s="5" t="str">
        <f>VLOOKUP(A9,'Price Master List'!A:Q,17,FALSE)</f>
        <v>Sam's Club</v>
      </c>
      <c r="E9" s="27">
        <f>IFERROR(VLOOKUP(A9,'Price Master List'!A:N,6,FALSE),0)</f>
        <v>0.18</v>
      </c>
      <c r="F9" s="27">
        <f>IFERROR(VLOOKUP(A9,'Price Master List'!A:N,10),0)</f>
        <v>0.25</v>
      </c>
      <c r="G9" s="27">
        <f>IFERROR(VLOOKUP(A9,'Price Master List'!A:N,14,FALSE),0)</f>
        <v>0.25</v>
      </c>
      <c r="H9" s="28">
        <f t="shared" si="0"/>
        <v>7.0000000000000007E-2</v>
      </c>
      <c r="I9" s="38">
        <v>0</v>
      </c>
      <c r="J9" s="3">
        <f t="shared" si="1"/>
        <v>0</v>
      </c>
      <c r="K9" s="4">
        <f t="shared" si="2"/>
        <v>0</v>
      </c>
      <c r="L9" s="3">
        <f t="shared" si="3"/>
        <v>0</v>
      </c>
      <c r="M9" s="4">
        <f t="shared" si="4"/>
        <v>0</v>
      </c>
    </row>
    <row r="10" spans="1:13" x14ac:dyDescent="0.35">
      <c r="A10" t="s">
        <v>43</v>
      </c>
      <c r="B10" s="26">
        <f>VLOOKUP(A10,'Price Master List'!A:Q,15,FALSE)</f>
        <v>4.1900000000000004</v>
      </c>
      <c r="C10" s="27" t="str">
        <f>VLOOKUP(A10,'Price Master List'!A:Q,16,FALSE)</f>
        <v>pound</v>
      </c>
      <c r="D10" s="5" t="str">
        <f>VLOOKUP(A10,'Price Master List'!A:Q,17,FALSE)</f>
        <v>Aldi</v>
      </c>
      <c r="E10" s="27">
        <f>IFERROR(VLOOKUP(A10,'Price Master List'!A:N,6,FALSE),0)</f>
        <v>5.22</v>
      </c>
      <c r="F10" s="27">
        <f>IFERROR(VLOOKUP(A10,'Price Master List'!A:N,10),0)</f>
        <v>4.75</v>
      </c>
      <c r="G10" s="27">
        <f>IFERROR(VLOOKUP(A10,'Price Master List'!A:N,14,FALSE),0)</f>
        <v>4.1900000000000004</v>
      </c>
      <c r="H10" s="28">
        <f t="shared" si="0"/>
        <v>0</v>
      </c>
      <c r="I10" s="38">
        <v>0</v>
      </c>
      <c r="J10" s="3">
        <f t="shared" si="1"/>
        <v>0</v>
      </c>
      <c r="K10" s="4">
        <f t="shared" si="2"/>
        <v>0</v>
      </c>
      <c r="L10" s="3">
        <f t="shared" si="3"/>
        <v>0</v>
      </c>
      <c r="M10" s="4">
        <f t="shared" si="4"/>
        <v>0</v>
      </c>
    </row>
    <row r="11" spans="1:13" x14ac:dyDescent="0.35">
      <c r="A11" t="s">
        <v>92</v>
      </c>
      <c r="B11" s="26">
        <f>VLOOKUP(A11,'Price Master List'!A:Q,15,FALSE)</f>
        <v>0.25</v>
      </c>
      <c r="C11" s="27" t="str">
        <f>VLOOKUP(A11,'Price Master List'!A:Q,16,FALSE)</f>
        <v>count</v>
      </c>
      <c r="D11" s="5" t="str">
        <f>VLOOKUP(A11,'Price Master List'!A:Q,17,FALSE)</f>
        <v>Aldi</v>
      </c>
      <c r="E11" s="27">
        <f>IFERROR(VLOOKUP(A11,'Price Master List'!A:N,6,FALSE),0)</f>
        <v>0.5</v>
      </c>
      <c r="F11" s="27">
        <f>IFERROR(VLOOKUP(A11,'Price Master List'!A:N,10),0)</f>
        <v>0.67</v>
      </c>
      <c r="G11" s="27">
        <f>IFERROR(VLOOKUP(A11,'Price Master List'!A:N,14,FALSE),0)</f>
        <v>0.25</v>
      </c>
      <c r="H11" s="28">
        <f t="shared" si="0"/>
        <v>0</v>
      </c>
      <c r="I11" s="38">
        <v>0</v>
      </c>
      <c r="J11" s="3">
        <f t="shared" si="1"/>
        <v>0</v>
      </c>
      <c r="K11" s="4">
        <f t="shared" si="2"/>
        <v>0</v>
      </c>
      <c r="L11" s="3">
        <f t="shared" si="3"/>
        <v>0</v>
      </c>
      <c r="M11" s="4">
        <f t="shared" si="4"/>
        <v>0</v>
      </c>
    </row>
    <row r="12" spans="1:13" x14ac:dyDescent="0.35">
      <c r="A12" t="s">
        <v>81</v>
      </c>
      <c r="B12" s="26">
        <f>VLOOKUP(A12,'Price Master List'!A:Q,15,FALSE)</f>
        <v>0.44</v>
      </c>
      <c r="C12" s="27" t="str">
        <f>VLOOKUP(A12,'Price Master List'!A:Q,16,FALSE)</f>
        <v>pound</v>
      </c>
      <c r="D12" s="5" t="str">
        <f>VLOOKUP(A12,'Price Master List'!A:Q,17,FALSE)</f>
        <v>Aldi</v>
      </c>
      <c r="E12" s="27">
        <f>IFERROR(VLOOKUP(A12,'Price Master List'!A:N,6,FALSE),0)</f>
        <v>0.55000000000000004</v>
      </c>
      <c r="F12" s="27">
        <f>IFERROR(VLOOKUP(A12,'Price Master List'!A:N,10),0)</f>
        <v>0.53</v>
      </c>
      <c r="G12" s="27">
        <f>IFERROR(VLOOKUP(A12,'Price Master List'!A:N,14,FALSE),0)</f>
        <v>0.44</v>
      </c>
      <c r="H12" s="28">
        <f t="shared" si="0"/>
        <v>0</v>
      </c>
      <c r="I12" s="38">
        <v>0</v>
      </c>
      <c r="J12" s="3">
        <f t="shared" si="1"/>
        <v>0</v>
      </c>
      <c r="K12" s="4">
        <f t="shared" si="2"/>
        <v>0</v>
      </c>
      <c r="L12" s="3">
        <f t="shared" si="3"/>
        <v>0</v>
      </c>
      <c r="M12" s="4">
        <f t="shared" si="4"/>
        <v>0</v>
      </c>
    </row>
    <row r="13" spans="1:13" x14ac:dyDescent="0.35">
      <c r="A13" t="s">
        <v>161</v>
      </c>
      <c r="B13" s="26">
        <f>VLOOKUP(A13,'Price Master List'!A:Q,15,FALSE)</f>
        <v>0.51</v>
      </c>
      <c r="C13" s="27" t="str">
        <f>VLOOKUP(A13,'Price Master List'!A:Q,16,FALSE)</f>
        <v>pound</v>
      </c>
      <c r="D13" s="5" t="str">
        <f>VLOOKUP(A13,'Price Master List'!A:Q,17,FALSE)</f>
        <v>Costco</v>
      </c>
      <c r="E13" s="27">
        <f>IFERROR(VLOOKUP(A13,'Price Master List'!A:N,6,FALSE),0)</f>
        <v>0.52</v>
      </c>
      <c r="F13" s="27">
        <f>IFERROR(VLOOKUP(A13,'Price Master List'!A:N,10),0)</f>
        <v>0.51</v>
      </c>
      <c r="G13" s="27">
        <f>IFERROR(VLOOKUP(A13,'Price Master List'!A:N,14,FALSE),0)</f>
        <v>0.59</v>
      </c>
      <c r="H13" s="28">
        <f t="shared" si="0"/>
        <v>7.999999999999996E-2</v>
      </c>
      <c r="I13" s="38">
        <v>0</v>
      </c>
      <c r="J13" s="3">
        <f t="shared" si="1"/>
        <v>0</v>
      </c>
      <c r="K13" s="4">
        <f t="shared" si="2"/>
        <v>0</v>
      </c>
      <c r="L13" s="3">
        <f t="shared" si="3"/>
        <v>0</v>
      </c>
      <c r="M13" s="4">
        <f t="shared" si="4"/>
        <v>0</v>
      </c>
    </row>
    <row r="14" spans="1:13" x14ac:dyDescent="0.35">
      <c r="A14" t="s">
        <v>44</v>
      </c>
      <c r="B14" s="26">
        <f>VLOOKUP(A14,'Price Master List'!A:Q,15,FALSE)</f>
        <v>0.47</v>
      </c>
      <c r="C14" s="27" t="str">
        <f>VLOOKUP(A14,'Price Master List'!A:Q,16,FALSE)</f>
        <v>pound</v>
      </c>
      <c r="D14" s="5" t="str">
        <f>VLOOKUP(A14,'Price Master List'!A:Q,17,FALSE)</f>
        <v>Aldi</v>
      </c>
      <c r="E14" s="27">
        <f>IFERROR(VLOOKUP(A14,'Price Master List'!A:N,6,FALSE),0)</f>
        <v>0.53</v>
      </c>
      <c r="F14" s="27">
        <f>IFERROR(VLOOKUP(A14,'Price Master List'!A:N,10),0)</f>
        <v>0.76</v>
      </c>
      <c r="G14" s="27">
        <f>IFERROR(VLOOKUP(A14,'Price Master List'!A:N,14,FALSE),0)</f>
        <v>0.47</v>
      </c>
      <c r="H14" s="28">
        <f t="shared" si="0"/>
        <v>0</v>
      </c>
      <c r="I14" s="38">
        <v>0</v>
      </c>
      <c r="J14" s="3">
        <f t="shared" si="1"/>
        <v>0</v>
      </c>
      <c r="K14" s="4">
        <f t="shared" si="2"/>
        <v>0</v>
      </c>
      <c r="L14" s="3">
        <f t="shared" si="3"/>
        <v>0</v>
      </c>
      <c r="M14" s="4">
        <f t="shared" si="4"/>
        <v>0</v>
      </c>
    </row>
    <row r="15" spans="1:13" x14ac:dyDescent="0.35">
      <c r="A15" t="s">
        <v>94</v>
      </c>
      <c r="B15" s="26">
        <f>VLOOKUP(A15,'Price Master List'!A:Q,15,FALSE)</f>
        <v>5.48</v>
      </c>
      <c r="C15" s="27" t="str">
        <f>VLOOKUP(A15,'Price Master List'!A:Q,16,FALSE)</f>
        <v>pound</v>
      </c>
      <c r="D15" s="5" t="str">
        <f>VLOOKUP(A15,'Price Master List'!A:Q,17,FALSE)</f>
        <v>Sam's Club</v>
      </c>
      <c r="E15" s="27">
        <f>IFERROR(VLOOKUP(A15,'Price Master List'!A:N,6,FALSE),0)</f>
        <v>5.48</v>
      </c>
      <c r="F15" s="27">
        <f>IFERROR(VLOOKUP(A15,'Price Master List'!A:N,10),0)</f>
        <v>5.49</v>
      </c>
      <c r="G15" s="27">
        <f>IFERROR(VLOOKUP(A15,'Price Master List'!A:N,14,FALSE),0)</f>
        <v>0</v>
      </c>
      <c r="H15" s="28">
        <f t="shared" si="0"/>
        <v>0</v>
      </c>
      <c r="I15" s="38">
        <v>0</v>
      </c>
      <c r="J15" s="3">
        <f t="shared" si="1"/>
        <v>0</v>
      </c>
      <c r="K15" s="4">
        <f t="shared" si="2"/>
        <v>0</v>
      </c>
      <c r="L15" s="3">
        <f t="shared" si="3"/>
        <v>0</v>
      </c>
      <c r="M15" s="4">
        <f t="shared" si="4"/>
        <v>0</v>
      </c>
    </row>
    <row r="16" spans="1:13" x14ac:dyDescent="0.35">
      <c r="A16" t="s">
        <v>25</v>
      </c>
      <c r="B16" s="26">
        <f>VLOOKUP(A16,'Price Master List'!A:Q,15,FALSE)</f>
        <v>0.57999999999999996</v>
      </c>
      <c r="C16" s="27" t="str">
        <f>VLOOKUP(A16,'Price Master List'!A:Q,16,FALSE)</f>
        <v>cans</v>
      </c>
      <c r="D16" s="5" t="str">
        <f>VLOOKUP(A16,'Price Master List'!A:Q,17,FALSE)</f>
        <v>Aldi</v>
      </c>
      <c r="E16" s="27">
        <f>IFERROR(VLOOKUP(A16,'Price Master List'!A:N,6,FALSE),0)</f>
        <v>0.81</v>
      </c>
      <c r="F16" s="27">
        <f>IFERROR(VLOOKUP(A16,'Price Master List'!A:N,10),0)</f>
        <v>0</v>
      </c>
      <c r="G16" s="27">
        <f>IFERROR(VLOOKUP(A16,'Price Master List'!A:N,14,FALSE),0)</f>
        <v>0.57999999999999996</v>
      </c>
      <c r="H16" s="28">
        <f t="shared" si="0"/>
        <v>0</v>
      </c>
      <c r="I16" s="38">
        <v>0</v>
      </c>
      <c r="J16" s="3">
        <f t="shared" si="1"/>
        <v>0</v>
      </c>
      <c r="K16" s="4">
        <f t="shared" si="2"/>
        <v>0</v>
      </c>
      <c r="L16" s="3">
        <f t="shared" si="3"/>
        <v>0</v>
      </c>
      <c r="M16" s="4">
        <f t="shared" si="4"/>
        <v>0</v>
      </c>
    </row>
    <row r="17" spans="1:13" x14ac:dyDescent="0.35">
      <c r="A17" t="s">
        <v>13</v>
      </c>
      <c r="B17" s="26">
        <f>VLOOKUP(A17,'Price Master List'!A:Q,15,FALSE)</f>
        <v>2.5</v>
      </c>
      <c r="C17" s="27" t="str">
        <f>VLOOKUP(A17,'Price Master List'!A:Q,16,FALSE)</f>
        <v>pounds</v>
      </c>
      <c r="D17" s="5" t="str">
        <f>VLOOKUP(A17,'Price Master List'!A:Q,17,FALSE)</f>
        <v>Costco</v>
      </c>
      <c r="E17" s="27">
        <f>IFERROR(VLOOKUP(A17,'Price Master List'!A:N,6,FALSE),0)</f>
        <v>2.87</v>
      </c>
      <c r="F17" s="27">
        <f>IFERROR(VLOOKUP(A17,'Price Master List'!A:N,10),0)</f>
        <v>2.5</v>
      </c>
      <c r="G17" s="27">
        <f>IFERROR(VLOOKUP(A17,'Price Master List'!A:N,14,FALSE),0)</f>
        <v>3.5</v>
      </c>
      <c r="H17" s="28">
        <f t="shared" si="0"/>
        <v>1</v>
      </c>
      <c r="I17" s="38">
        <v>0</v>
      </c>
      <c r="J17" s="3">
        <f t="shared" si="1"/>
        <v>0</v>
      </c>
      <c r="K17" s="4">
        <f t="shared" si="2"/>
        <v>0</v>
      </c>
      <c r="L17" s="3">
        <f t="shared" si="3"/>
        <v>0</v>
      </c>
      <c r="M17" s="4">
        <f t="shared" si="4"/>
        <v>0</v>
      </c>
    </row>
    <row r="18" spans="1:13" x14ac:dyDescent="0.35">
      <c r="A18" t="s">
        <v>147</v>
      </c>
      <c r="B18" s="26">
        <f>VLOOKUP(A18,'Price Master List'!A:Q,15,FALSE)</f>
        <v>2.7</v>
      </c>
      <c r="C18" s="27" t="str">
        <f>VLOOKUP(A18,'Price Master List'!A:Q,16,FALSE)</f>
        <v>pounds</v>
      </c>
      <c r="D18" s="5" t="str">
        <f>VLOOKUP(A18,'Price Master List'!A:Q,17,FALSE)</f>
        <v>Costco</v>
      </c>
      <c r="E18" s="27">
        <f>IFERROR(VLOOKUP(A18,'Price Master List'!A:N,6,FALSE),0)</f>
        <v>2.74</v>
      </c>
      <c r="F18" s="27">
        <f>IFERROR(VLOOKUP(A18,'Price Master List'!A:N,10),0)</f>
        <v>2.7</v>
      </c>
      <c r="G18" s="27">
        <f>IFERROR(VLOOKUP(A18,'Price Master List'!A:N,14,FALSE),0)</f>
        <v>3.5</v>
      </c>
      <c r="H18" s="28">
        <f t="shared" si="0"/>
        <v>0.79999999999999982</v>
      </c>
      <c r="I18" s="38">
        <v>0</v>
      </c>
      <c r="J18" s="3">
        <f t="shared" si="1"/>
        <v>0</v>
      </c>
      <c r="K18" s="4">
        <f t="shared" si="2"/>
        <v>0</v>
      </c>
      <c r="L18" s="3">
        <f t="shared" si="3"/>
        <v>0</v>
      </c>
      <c r="M18" s="4">
        <f t="shared" si="4"/>
        <v>0</v>
      </c>
    </row>
    <row r="19" spans="1:13" x14ac:dyDescent="0.35">
      <c r="A19" t="s">
        <v>103</v>
      </c>
      <c r="B19" s="26">
        <f>VLOOKUP(A19,'Price Master List'!A:Q,15,FALSE)</f>
        <v>0.37</v>
      </c>
      <c r="C19" s="27" t="str">
        <f>VLOOKUP(A19,'Price Master List'!A:Q,16,FALSE)</f>
        <v>ounces</v>
      </c>
      <c r="D19" s="5" t="str">
        <f>VLOOKUP(A19,'Price Master List'!A:Q,17,FALSE)</f>
        <v>Sam's Club</v>
      </c>
      <c r="E19" s="27">
        <f>IFERROR(VLOOKUP(A19,'Price Master List'!A:N,6,FALSE),0)</f>
        <v>0.37</v>
      </c>
      <c r="F19" s="27">
        <f>IFERROR(VLOOKUP(A19,'Price Master List'!A:N,10),0)</f>
        <v>0.78</v>
      </c>
      <c r="G19" s="27">
        <f>IFERROR(VLOOKUP(A19,'Price Master List'!A:N,14,FALSE),0)</f>
        <v>6.58</v>
      </c>
      <c r="H19" s="28">
        <f t="shared" si="0"/>
        <v>6.21</v>
      </c>
      <c r="I19" s="38">
        <v>0</v>
      </c>
      <c r="J19" s="3">
        <f t="shared" si="1"/>
        <v>0</v>
      </c>
      <c r="K19" s="4">
        <f t="shared" si="2"/>
        <v>0</v>
      </c>
      <c r="L19" s="3">
        <f t="shared" si="3"/>
        <v>0</v>
      </c>
      <c r="M19" s="4">
        <f t="shared" si="4"/>
        <v>0</v>
      </c>
    </row>
    <row r="20" spans="1:13" x14ac:dyDescent="0.35">
      <c r="A20" t="s">
        <v>98</v>
      </c>
      <c r="B20" s="26">
        <f>VLOOKUP(A20,'Price Master List'!A:Q,15,FALSE)</f>
        <v>1.96</v>
      </c>
      <c r="C20" s="27" t="str">
        <f>VLOOKUP(A20,'Price Master List'!A:Q,16,FALSE)</f>
        <v>pound</v>
      </c>
      <c r="D20" s="5" t="str">
        <f>VLOOKUP(A20,'Price Master List'!A:Q,17,FALSE)</f>
        <v>Sam's Club</v>
      </c>
      <c r="E20" s="27">
        <f>IFERROR(VLOOKUP(A20,'Price Master List'!A:N,6,FALSE),0)</f>
        <v>1.96</v>
      </c>
      <c r="F20" s="27">
        <f>IFERROR(VLOOKUP(A20,'Price Master List'!A:N,10),0)</f>
        <v>1.99</v>
      </c>
      <c r="G20" s="27">
        <f>IFERROR(VLOOKUP(A20,'Price Master List'!A:N,14,FALSE),0)</f>
        <v>0</v>
      </c>
      <c r="H20" s="28">
        <f t="shared" si="0"/>
        <v>0</v>
      </c>
      <c r="I20" s="38">
        <v>0</v>
      </c>
      <c r="J20" s="3">
        <f t="shared" si="1"/>
        <v>0</v>
      </c>
      <c r="K20" s="4">
        <f t="shared" si="2"/>
        <v>0</v>
      </c>
      <c r="L20" s="3">
        <f t="shared" si="3"/>
        <v>0</v>
      </c>
      <c r="M20" s="4">
        <f t="shared" si="4"/>
        <v>0</v>
      </c>
    </row>
    <row r="21" spans="1:13" x14ac:dyDescent="0.35">
      <c r="A21" t="s">
        <v>207</v>
      </c>
      <c r="B21" s="26">
        <f>VLOOKUP(A21,'Price Master List'!A:Q,15,FALSE)</f>
        <v>0.06</v>
      </c>
      <c r="C21" s="27" t="str">
        <f>VLOOKUP(A21,'Price Master List'!A:Q,16,FALSE)</f>
        <v>ounces</v>
      </c>
      <c r="D21" s="5" t="str">
        <f>VLOOKUP(A21,'Price Master List'!A:Q,17,FALSE)</f>
        <v>Aldi</v>
      </c>
      <c r="E21" s="27">
        <f>IFERROR(VLOOKUP(A21,'Price Master List'!A:N,6,FALSE),0)</f>
        <v>0.08</v>
      </c>
      <c r="F21" s="27">
        <f>IFERROR(VLOOKUP(A21,'Price Master List'!A:N,10),0)</f>
        <v>0.15</v>
      </c>
      <c r="G21" s="27">
        <f>IFERROR(VLOOKUP(A21,'Price Master List'!A:N,14,FALSE),0)</f>
        <v>0.06</v>
      </c>
      <c r="H21" s="28">
        <f t="shared" si="0"/>
        <v>0</v>
      </c>
      <c r="I21" s="38">
        <v>0</v>
      </c>
      <c r="J21" s="3">
        <f t="shared" si="1"/>
        <v>0</v>
      </c>
      <c r="K21" s="4">
        <f t="shared" si="2"/>
        <v>0</v>
      </c>
      <c r="L21" s="3">
        <f t="shared" si="3"/>
        <v>0</v>
      </c>
      <c r="M21" s="4">
        <f t="shared" si="4"/>
        <v>0</v>
      </c>
    </row>
    <row r="22" spans="1:13" x14ac:dyDescent="0.35">
      <c r="A22" t="s">
        <v>203</v>
      </c>
      <c r="B22" s="26">
        <f>VLOOKUP(A22,'Price Master List'!A:Q,15,FALSE)</f>
        <v>2.74</v>
      </c>
      <c r="C22" s="27" t="str">
        <f>VLOOKUP(A22,'Price Master List'!A:Q,16,FALSE)</f>
        <v>pound</v>
      </c>
      <c r="D22" s="5" t="str">
        <f>VLOOKUP(A22,'Price Master List'!A:Q,17,FALSE)</f>
        <v>Sam's Club</v>
      </c>
      <c r="E22" s="27">
        <f>IFERROR(VLOOKUP(A22,'Price Master List'!A:N,6,FALSE),0)</f>
        <v>2.74</v>
      </c>
      <c r="F22" s="27">
        <f>IFERROR(VLOOKUP(A22,'Price Master List'!A:N,10),0)</f>
        <v>0</v>
      </c>
      <c r="G22" s="27">
        <f>IFERROR(VLOOKUP(A22,'Price Master List'!A:N,14,FALSE),0)</f>
        <v>3.45</v>
      </c>
      <c r="H22" s="28">
        <f t="shared" si="0"/>
        <v>0.71</v>
      </c>
      <c r="I22" s="38">
        <v>0</v>
      </c>
      <c r="J22" s="3">
        <f t="shared" si="1"/>
        <v>0</v>
      </c>
      <c r="K22" s="4">
        <f t="shared" si="2"/>
        <v>0</v>
      </c>
      <c r="L22" s="3">
        <f t="shared" si="3"/>
        <v>0</v>
      </c>
      <c r="M22" s="4">
        <f t="shared" si="4"/>
        <v>0</v>
      </c>
    </row>
    <row r="23" spans="1:13" x14ac:dyDescent="0.35">
      <c r="A23" t="s">
        <v>89</v>
      </c>
      <c r="B23" s="26">
        <f>VLOOKUP(A23,'Price Master List'!A:Q,15,FALSE)</f>
        <v>1.05</v>
      </c>
      <c r="C23" s="27" t="str">
        <f>VLOOKUP(A23,'Price Master List'!A:Q,16,FALSE)</f>
        <v>pound</v>
      </c>
      <c r="D23" s="5" t="str">
        <f>VLOOKUP(A23,'Price Master List'!A:Q,17,FALSE)</f>
        <v>Aldi</v>
      </c>
      <c r="E23" s="27">
        <f>IFERROR(VLOOKUP(A23,'Price Master List'!A:N,6,FALSE),0)</f>
        <v>1.99</v>
      </c>
      <c r="F23" s="27">
        <f>IFERROR(VLOOKUP(A23,'Price Master List'!A:N,10),0)</f>
        <v>2.33</v>
      </c>
      <c r="G23" s="27">
        <f>IFERROR(VLOOKUP(A23,'Price Master List'!A:N,14,FALSE),0)</f>
        <v>1.05</v>
      </c>
      <c r="H23" s="28">
        <f t="shared" si="0"/>
        <v>0</v>
      </c>
      <c r="I23" s="38">
        <v>0</v>
      </c>
      <c r="J23" s="3">
        <f t="shared" si="1"/>
        <v>0</v>
      </c>
      <c r="K23" s="4">
        <f t="shared" si="2"/>
        <v>0</v>
      </c>
      <c r="L23" s="3">
        <f t="shared" si="3"/>
        <v>0</v>
      </c>
      <c r="M23" s="4">
        <f t="shared" si="4"/>
        <v>0</v>
      </c>
    </row>
    <row r="24" spans="1:13" x14ac:dyDescent="0.35">
      <c r="A24" t="s">
        <v>37</v>
      </c>
      <c r="B24" s="26">
        <f>VLOOKUP(A24,'Price Master List'!A:Q,15,FALSE)</f>
        <v>0.66</v>
      </c>
      <c r="C24" s="27" t="str">
        <f>VLOOKUP(A24,'Price Master List'!A:Q,16,FALSE)</f>
        <v>pound</v>
      </c>
      <c r="D24" s="5" t="str">
        <f>VLOOKUP(A24,'Price Master List'!A:Q,17,FALSE)</f>
        <v>Costco</v>
      </c>
      <c r="E24" s="27">
        <f>IFERROR(VLOOKUP(A24,'Price Master List'!A:N,6,FALSE),0)</f>
        <v>0.77</v>
      </c>
      <c r="F24" s="27">
        <f>IFERROR(VLOOKUP(A24,'Price Master List'!A:N,10),0)</f>
        <v>0.66</v>
      </c>
      <c r="G24" s="27">
        <f>IFERROR(VLOOKUP(A24,'Price Master List'!A:N,14,FALSE),0)</f>
        <v>0.7</v>
      </c>
      <c r="H24" s="28">
        <f t="shared" si="0"/>
        <v>3.9999999999999925E-2</v>
      </c>
      <c r="I24" s="38">
        <v>0</v>
      </c>
      <c r="J24" s="3">
        <f t="shared" si="1"/>
        <v>0</v>
      </c>
      <c r="K24" s="4">
        <f t="shared" si="2"/>
        <v>0</v>
      </c>
      <c r="L24" s="3">
        <f t="shared" si="3"/>
        <v>0</v>
      </c>
      <c r="M24" s="4">
        <f t="shared" si="4"/>
        <v>0</v>
      </c>
    </row>
    <row r="25" spans="1:13" x14ac:dyDescent="0.35">
      <c r="A25" t="s">
        <v>90</v>
      </c>
      <c r="B25" s="26">
        <f>VLOOKUP(A25,'Price Master List'!A:Q,15,FALSE)</f>
        <v>2.4500000000000002</v>
      </c>
      <c r="C25" s="27" t="str">
        <f>VLOOKUP(A25,'Price Master List'!A:Q,16,FALSE)</f>
        <v>pound</v>
      </c>
      <c r="D25" s="5" t="str">
        <f>VLOOKUP(A25,'Price Master List'!A:Q,17,FALSE)</f>
        <v>Aldi</v>
      </c>
      <c r="E25" s="27">
        <f>IFERROR(VLOOKUP(A25,'Price Master List'!A:N,6,FALSE),0)</f>
        <v>0</v>
      </c>
      <c r="F25" s="27">
        <f>IFERROR(VLOOKUP(A25,'Price Master List'!A:N,10),0)</f>
        <v>3.25</v>
      </c>
      <c r="G25" s="27">
        <f>IFERROR(VLOOKUP(A25,'Price Master List'!A:N,14,FALSE),0)</f>
        <v>2.4500000000000002</v>
      </c>
      <c r="H25" s="28">
        <f t="shared" si="0"/>
        <v>0</v>
      </c>
      <c r="I25" s="38">
        <v>0</v>
      </c>
      <c r="J25" s="3">
        <f t="shared" si="1"/>
        <v>0</v>
      </c>
      <c r="K25" s="4">
        <f t="shared" si="2"/>
        <v>0</v>
      </c>
      <c r="L25" s="3">
        <f t="shared" si="3"/>
        <v>0</v>
      </c>
      <c r="M25" s="4">
        <f t="shared" si="4"/>
        <v>0</v>
      </c>
    </row>
    <row r="26" spans="1:13" x14ac:dyDescent="0.35">
      <c r="A26" t="s">
        <v>169</v>
      </c>
      <c r="B26" s="26">
        <f>VLOOKUP(A26,'Price Master List'!A:Q,15,FALSE)</f>
        <v>0.22</v>
      </c>
      <c r="C26" s="27" t="str">
        <f>VLOOKUP(A26,'Price Master List'!A:Q,16,FALSE)</f>
        <v>ounces</v>
      </c>
      <c r="D26" s="5" t="str">
        <f>VLOOKUP(A26,'Price Master List'!A:Q,17,FALSE)</f>
        <v>Sam's Club</v>
      </c>
      <c r="E26" s="27">
        <f>IFERROR(VLOOKUP(A26,'Price Master List'!A:N,6,FALSE),0)</f>
        <v>0.22</v>
      </c>
      <c r="F26" s="27">
        <f>IFERROR(VLOOKUP(A26,'Price Master List'!A:N,10),0)</f>
        <v>0.37</v>
      </c>
      <c r="G26" s="27">
        <f>IFERROR(VLOOKUP(A26,'Price Master List'!A:N,14,FALSE),0)</f>
        <v>0.25</v>
      </c>
      <c r="H26" s="28">
        <f t="shared" si="0"/>
        <v>0.03</v>
      </c>
      <c r="I26" s="38">
        <v>0</v>
      </c>
      <c r="J26" s="3">
        <f t="shared" si="1"/>
        <v>0</v>
      </c>
      <c r="K26" s="4">
        <f t="shared" si="2"/>
        <v>0</v>
      </c>
      <c r="L26" s="3">
        <f t="shared" si="3"/>
        <v>0</v>
      </c>
      <c r="M26" s="4">
        <f t="shared" si="4"/>
        <v>0</v>
      </c>
    </row>
    <row r="27" spans="1:13" x14ac:dyDescent="0.35">
      <c r="A27" t="s">
        <v>174</v>
      </c>
      <c r="B27" s="26">
        <f>VLOOKUP(A27,'Price Master List'!A:Q,15,FALSE)</f>
        <v>0.47</v>
      </c>
      <c r="C27" s="27" t="str">
        <f>VLOOKUP(A27,'Price Master List'!A:Q,16,FALSE)</f>
        <v>cans</v>
      </c>
      <c r="D27" s="5" t="str">
        <f>VLOOKUP(A27,'Price Master List'!A:Q,17,FALSE)</f>
        <v>Aldi</v>
      </c>
      <c r="E27" s="27">
        <f>IFERROR(VLOOKUP(A27,'Price Master List'!A:N,6,FALSE),0)</f>
        <v>0.81</v>
      </c>
      <c r="F27" s="27">
        <f>IFERROR(VLOOKUP(A27,'Price Master List'!A:N,10),0)</f>
        <v>0.79</v>
      </c>
      <c r="G27" s="27">
        <f>IFERROR(VLOOKUP(A27,'Price Master List'!A:N,14,FALSE),0)</f>
        <v>0.47</v>
      </c>
      <c r="H27" s="28">
        <f t="shared" si="0"/>
        <v>0</v>
      </c>
      <c r="I27" s="38">
        <v>0</v>
      </c>
      <c r="J27" s="3">
        <f t="shared" si="1"/>
        <v>0</v>
      </c>
      <c r="K27" s="4">
        <f t="shared" si="2"/>
        <v>0</v>
      </c>
      <c r="L27" s="3">
        <f t="shared" si="3"/>
        <v>0</v>
      </c>
      <c r="M27" s="4">
        <f t="shared" si="4"/>
        <v>0</v>
      </c>
    </row>
    <row r="28" spans="1:13" x14ac:dyDescent="0.35">
      <c r="A28" t="s">
        <v>88</v>
      </c>
      <c r="B28" s="26">
        <f>VLOOKUP(A28,'Price Master List'!A:Q,15,FALSE)</f>
        <v>0.8</v>
      </c>
      <c r="C28" s="27" t="str">
        <f>VLOOKUP(A28,'Price Master List'!A:Q,16,FALSE)</f>
        <v>pound</v>
      </c>
      <c r="D28" s="5" t="str">
        <f>VLOOKUP(A28,'Price Master List'!A:Q,17,FALSE)</f>
        <v>Sam's Club</v>
      </c>
      <c r="E28" s="27">
        <f>IFERROR(VLOOKUP(A28,'Price Master List'!A:N,6,FALSE),0)</f>
        <v>0.8</v>
      </c>
      <c r="F28" s="27">
        <f>IFERROR(VLOOKUP(A28,'Price Master List'!A:N,10),0)</f>
        <v>1.32</v>
      </c>
      <c r="G28" s="27">
        <f>IFERROR(VLOOKUP(A28,'Price Master List'!A:N,14,FALSE),0)</f>
        <v>0.9</v>
      </c>
      <c r="H28" s="28">
        <f t="shared" si="0"/>
        <v>9.9999999999999978E-2</v>
      </c>
      <c r="I28" s="38">
        <v>0</v>
      </c>
      <c r="J28" s="3">
        <f t="shared" si="1"/>
        <v>0</v>
      </c>
      <c r="K28" s="4">
        <f t="shared" si="2"/>
        <v>0</v>
      </c>
      <c r="L28" s="3">
        <f t="shared" si="3"/>
        <v>0</v>
      </c>
      <c r="M28" s="4">
        <f t="shared" si="4"/>
        <v>0</v>
      </c>
    </row>
    <row r="29" spans="1:13" x14ac:dyDescent="0.35">
      <c r="A29" t="s">
        <v>189</v>
      </c>
      <c r="B29" s="26">
        <f>VLOOKUP(A29,'Price Master List'!A:Q,15,FALSE)</f>
        <v>0.36</v>
      </c>
      <c r="C29" s="27" t="str">
        <f>VLOOKUP(A29,'Price Master List'!A:Q,16,FALSE)</f>
        <v>ounces</v>
      </c>
      <c r="D29" s="5" t="str">
        <f>VLOOKUP(A29,'Price Master List'!A:Q,17,FALSE)</f>
        <v>Costco</v>
      </c>
      <c r="E29" s="27">
        <f>IFERROR(VLOOKUP(A29,'Price Master List'!A:N,6,FALSE),0)</f>
        <v>0.36</v>
      </c>
      <c r="F29" s="27">
        <f>IFERROR(VLOOKUP(A29,'Price Master List'!A:N,10),0)</f>
        <v>0.36</v>
      </c>
      <c r="G29" s="27">
        <f>IFERROR(VLOOKUP(A29,'Price Master List'!A:N,14,FALSE),0)</f>
        <v>0.37</v>
      </c>
      <c r="H29" s="28">
        <f t="shared" si="0"/>
        <v>1.0000000000000009E-2</v>
      </c>
      <c r="I29" s="38">
        <v>0</v>
      </c>
      <c r="J29" s="3">
        <f t="shared" si="1"/>
        <v>0</v>
      </c>
      <c r="K29" s="4">
        <f t="shared" si="2"/>
        <v>0</v>
      </c>
      <c r="L29" s="3">
        <f t="shared" si="3"/>
        <v>0</v>
      </c>
      <c r="M29" s="4">
        <f t="shared" si="4"/>
        <v>0</v>
      </c>
    </row>
    <row r="30" spans="1:13" x14ac:dyDescent="0.35">
      <c r="A30" t="s">
        <v>132</v>
      </c>
      <c r="B30" s="26">
        <f>VLOOKUP(A30,'Price Master List'!A:Q,15,FALSE)</f>
        <v>0.52</v>
      </c>
      <c r="C30" s="27" t="str">
        <f>VLOOKUP(A30,'Price Master List'!A:Q,16,FALSE)</f>
        <v>pounds</v>
      </c>
      <c r="D30" s="5" t="str">
        <f>VLOOKUP(A30,'Price Master List'!A:Q,17,FALSE)</f>
        <v>Aldi</v>
      </c>
      <c r="E30" s="27">
        <f>IFERROR(VLOOKUP(A30,'Price Master List'!A:N,6,FALSE),0)</f>
        <v>0.62</v>
      </c>
      <c r="F30" s="27">
        <f>IFERROR(VLOOKUP(A30,'Price Master List'!A:N,10),0)</f>
        <v>0.8</v>
      </c>
      <c r="G30" s="27">
        <f>IFERROR(VLOOKUP(A30,'Price Master List'!A:N,14,FALSE),0)</f>
        <v>0.52</v>
      </c>
      <c r="H30" s="28">
        <f t="shared" si="0"/>
        <v>0</v>
      </c>
      <c r="I30" s="38">
        <v>0</v>
      </c>
      <c r="J30" s="3">
        <f t="shared" si="1"/>
        <v>0</v>
      </c>
      <c r="K30" s="4">
        <f t="shared" si="2"/>
        <v>0</v>
      </c>
      <c r="L30" s="3">
        <f t="shared" si="3"/>
        <v>0</v>
      </c>
      <c r="M30" s="4">
        <f t="shared" si="4"/>
        <v>0</v>
      </c>
    </row>
    <row r="31" spans="1:13" x14ac:dyDescent="0.35">
      <c r="A31" t="s">
        <v>182</v>
      </c>
      <c r="B31" s="26">
        <f>VLOOKUP(A31,'Price Master List'!A:Q,15,FALSE)</f>
        <v>0.17</v>
      </c>
      <c r="C31" s="27" t="str">
        <f>VLOOKUP(A31,'Price Master List'!A:Q,16,FALSE)</f>
        <v>ounces</v>
      </c>
      <c r="D31" s="5" t="str">
        <f>VLOOKUP(A31,'Price Master List'!A:Q,17,FALSE)</f>
        <v>Costco</v>
      </c>
      <c r="E31" s="27">
        <f>IFERROR(VLOOKUP(A31,'Price Master List'!A:N,6,FALSE),0)</f>
        <v>0.17</v>
      </c>
      <c r="F31" s="27">
        <f>IFERROR(VLOOKUP(A31,'Price Master List'!A:N,10),0)</f>
        <v>0.17</v>
      </c>
      <c r="G31" s="27">
        <f>IFERROR(VLOOKUP(A31,'Price Master List'!A:N,14,FALSE),0)</f>
        <v>0.28000000000000003</v>
      </c>
      <c r="H31" s="28">
        <f t="shared" si="0"/>
        <v>0.11000000000000001</v>
      </c>
      <c r="I31" s="38">
        <v>0</v>
      </c>
      <c r="J31" s="3">
        <f t="shared" si="1"/>
        <v>0</v>
      </c>
      <c r="K31" s="4">
        <f t="shared" si="2"/>
        <v>0</v>
      </c>
      <c r="L31" s="3">
        <f t="shared" si="3"/>
        <v>0</v>
      </c>
      <c r="M31" s="4">
        <f t="shared" si="4"/>
        <v>0</v>
      </c>
    </row>
    <row r="32" spans="1:13" x14ac:dyDescent="0.35">
      <c r="A32" t="s">
        <v>4</v>
      </c>
      <c r="B32" s="26">
        <f>VLOOKUP(A32,'Price Master List'!A:Q,15,FALSE)</f>
        <v>1.99</v>
      </c>
      <c r="C32" s="27" t="str">
        <f>VLOOKUP(A32,'Price Master List'!A:Q,16,FALSE)</f>
        <v>pound</v>
      </c>
      <c r="D32" s="5" t="str">
        <f>VLOOKUP(A32,'Price Master List'!A:Q,17,FALSE)</f>
        <v>Aldi</v>
      </c>
      <c r="E32" s="27">
        <f>IFERROR(VLOOKUP(A32,'Price Master List'!A:N,6,FALSE),0)</f>
        <v>1.99</v>
      </c>
      <c r="F32" s="27">
        <f>IFERROR(VLOOKUP(A32,'Price Master List'!A:N,10),0)</f>
        <v>2.99</v>
      </c>
      <c r="G32" s="27">
        <f>IFERROR(VLOOKUP(A32,'Price Master List'!A:N,14,FALSE),0)</f>
        <v>1.99</v>
      </c>
      <c r="H32" s="28">
        <f t="shared" si="0"/>
        <v>0</v>
      </c>
      <c r="I32" s="38">
        <v>0</v>
      </c>
      <c r="J32" s="3">
        <f t="shared" si="1"/>
        <v>0</v>
      </c>
      <c r="K32" s="4">
        <f t="shared" si="2"/>
        <v>0</v>
      </c>
      <c r="L32" s="3">
        <f t="shared" si="3"/>
        <v>0</v>
      </c>
      <c r="M32" s="4">
        <f t="shared" si="4"/>
        <v>0</v>
      </c>
    </row>
    <row r="33" spans="1:13" x14ac:dyDescent="0.35">
      <c r="A33" t="s">
        <v>180</v>
      </c>
      <c r="B33" s="26">
        <f>VLOOKUP(A33,'Price Master List'!A:Q,15,FALSE)</f>
        <v>0.03</v>
      </c>
      <c r="C33" s="27" t="str">
        <f>VLOOKUP(A33,'Price Master List'!A:Q,16,FALSE)</f>
        <v>ounces</v>
      </c>
      <c r="D33" s="5" t="str">
        <f>VLOOKUP(A33,'Price Master List'!A:Q,17,FALSE)</f>
        <v>Sam's Club</v>
      </c>
      <c r="E33" s="27">
        <f>IFERROR(VLOOKUP(A33,'Price Master List'!A:N,6,FALSE),0)</f>
        <v>0.03</v>
      </c>
      <c r="F33" s="27">
        <f>IFERROR(VLOOKUP(A33,'Price Master List'!A:N,10),0)</f>
        <v>0.04</v>
      </c>
      <c r="G33" s="27">
        <f>IFERROR(VLOOKUP(A33,'Price Master List'!A:N,14,FALSE),0)</f>
        <v>0.04</v>
      </c>
      <c r="H33" s="28">
        <f t="shared" si="0"/>
        <v>1.0000000000000002E-2</v>
      </c>
      <c r="I33" s="38">
        <v>0</v>
      </c>
      <c r="J33" s="3">
        <f t="shared" si="1"/>
        <v>0</v>
      </c>
      <c r="K33" s="4">
        <f t="shared" si="2"/>
        <v>0</v>
      </c>
      <c r="L33" s="3">
        <f t="shared" si="3"/>
        <v>0</v>
      </c>
      <c r="M33" s="4">
        <f t="shared" si="4"/>
        <v>0</v>
      </c>
    </row>
    <row r="34" spans="1:13" x14ac:dyDescent="0.35">
      <c r="A34" t="s">
        <v>134</v>
      </c>
      <c r="B34" s="26">
        <f>VLOOKUP(A34,'Price Master List'!A:Q,15,FALSE)</f>
        <v>2.56</v>
      </c>
      <c r="C34" s="27" t="str">
        <f>VLOOKUP(A34,'Price Master List'!A:Q,16,FALSE)</f>
        <v>pounds</v>
      </c>
      <c r="D34" s="5" t="str">
        <f>VLOOKUP(A34,'Price Master List'!A:Q,17,FALSE)</f>
        <v>Costco</v>
      </c>
      <c r="E34" s="27">
        <f>IFERROR(VLOOKUP(A34,'Price Master List'!A:N,6,FALSE),0)</f>
        <v>3.25</v>
      </c>
      <c r="F34" s="27">
        <f>IFERROR(VLOOKUP(A34,'Price Master List'!A:N,10),0)</f>
        <v>2.56</v>
      </c>
      <c r="G34" s="27">
        <f>IFERROR(VLOOKUP(A34,'Price Master List'!A:N,14,FALSE),0)</f>
        <v>0</v>
      </c>
      <c r="H34" s="28">
        <f t="shared" si="0"/>
        <v>0</v>
      </c>
      <c r="I34" s="38">
        <v>0</v>
      </c>
      <c r="J34" s="3">
        <f t="shared" si="1"/>
        <v>0</v>
      </c>
      <c r="K34" s="4">
        <f t="shared" si="2"/>
        <v>0</v>
      </c>
      <c r="L34" s="3">
        <f t="shared" si="3"/>
        <v>0</v>
      </c>
      <c r="M34" s="4">
        <f t="shared" si="4"/>
        <v>0</v>
      </c>
    </row>
    <row r="35" spans="1:13" x14ac:dyDescent="0.35">
      <c r="A35" t="s">
        <v>196</v>
      </c>
      <c r="B35" s="26">
        <f>VLOOKUP(A35,'Price Master List'!A:Q,15,FALSE)</f>
        <v>0.38</v>
      </c>
      <c r="C35" s="27" t="str">
        <f>VLOOKUP(A35,'Price Master List'!A:Q,16,FALSE)</f>
        <v>ounces</v>
      </c>
      <c r="D35" s="5" t="str">
        <f>VLOOKUP(A35,'Price Master List'!A:Q,17,FALSE)</f>
        <v>Aldi</v>
      </c>
      <c r="E35" s="27">
        <f>IFERROR(VLOOKUP(A35,'Price Master List'!A:N,6,FALSE),0)</f>
        <v>0.4</v>
      </c>
      <c r="F35" s="27">
        <f>IFERROR(VLOOKUP(A35,'Price Master List'!A:N,10),0)</f>
        <v>0</v>
      </c>
      <c r="G35" s="27">
        <f>IFERROR(VLOOKUP(A35,'Price Master List'!A:N,14,FALSE),0)</f>
        <v>0.38</v>
      </c>
      <c r="H35" s="28">
        <f t="shared" ref="H35:H66" si="5">IF(G35=0,0,G35-B35)</f>
        <v>0</v>
      </c>
      <c r="I35" s="38">
        <v>0</v>
      </c>
      <c r="J35" s="3">
        <f t="shared" ref="J35:J66" si="6">IF(D35="Sam's Club",H35*I35*12,0)</f>
        <v>0</v>
      </c>
      <c r="K35" s="4">
        <f t="shared" ref="K35:K66" si="7">IF(D35="Costco",H35*I35*12,0)</f>
        <v>0</v>
      </c>
      <c r="L35" s="3">
        <f t="shared" ref="L35:L66" si="8">IF(E35&gt;0,IF(G35&gt;0,IF(G35&gt;E35,(G35-E35)*I35*12,0),0),0)</f>
        <v>0</v>
      </c>
      <c r="M35" s="4">
        <f t="shared" ref="M35:M66" si="9">IF(F35&gt;0,IF(G35&gt;0,IF(G35&gt;F35,(G35-F35)*I35*12,0),0),0)</f>
        <v>0</v>
      </c>
    </row>
    <row r="36" spans="1:13" x14ac:dyDescent="0.35">
      <c r="A36" t="s">
        <v>95</v>
      </c>
      <c r="B36" s="26">
        <f>VLOOKUP(A36,'Price Master List'!A:Q,15,FALSE)</f>
        <v>4.9800000000000004</v>
      </c>
      <c r="C36" s="27" t="str">
        <f>VLOOKUP(A36,'Price Master List'!A:Q,16,FALSE)</f>
        <v>pound</v>
      </c>
      <c r="D36" s="5" t="str">
        <f>VLOOKUP(A36,'Price Master List'!A:Q,17,FALSE)</f>
        <v>Sam's Club</v>
      </c>
      <c r="E36" s="27">
        <f>IFERROR(VLOOKUP(A36,'Price Master List'!A:N,6,FALSE),0)</f>
        <v>4.9800000000000004</v>
      </c>
      <c r="F36" s="27">
        <f>IFERROR(VLOOKUP(A36,'Price Master List'!A:N,10),0)</f>
        <v>5.49</v>
      </c>
      <c r="G36" s="27">
        <f>IFERROR(VLOOKUP(A36,'Price Master List'!A:N,14,FALSE),0)</f>
        <v>4.99</v>
      </c>
      <c r="H36" s="28">
        <f t="shared" si="5"/>
        <v>9.9999999999997868E-3</v>
      </c>
      <c r="I36" s="38">
        <v>0</v>
      </c>
      <c r="J36" s="3">
        <f t="shared" si="6"/>
        <v>0</v>
      </c>
      <c r="K36" s="4">
        <f t="shared" si="7"/>
        <v>0</v>
      </c>
      <c r="L36" s="3">
        <f t="shared" si="8"/>
        <v>0</v>
      </c>
      <c r="M36" s="4">
        <f t="shared" si="9"/>
        <v>0</v>
      </c>
    </row>
    <row r="37" spans="1:13" x14ac:dyDescent="0.35">
      <c r="A37" t="s">
        <v>187</v>
      </c>
      <c r="B37" s="26">
        <f>VLOOKUP(A37,'Price Master List'!A:Q,15,FALSE)</f>
        <v>0.75</v>
      </c>
      <c r="C37" s="27" t="str">
        <f>VLOOKUP(A37,'Price Master List'!A:Q,16,FALSE)</f>
        <v>count</v>
      </c>
      <c r="D37" s="5" t="str">
        <f>VLOOKUP(A37,'Price Master List'!A:Q,17,FALSE)</f>
        <v>Costco</v>
      </c>
      <c r="E37" s="27">
        <f>IFERROR(VLOOKUP(A37,'Price Master List'!A:N,6,FALSE),0)</f>
        <v>0.76</v>
      </c>
      <c r="F37" s="27">
        <f>IFERROR(VLOOKUP(A37,'Price Master List'!A:N,10),0)</f>
        <v>0.75</v>
      </c>
      <c r="G37" s="27">
        <f>IFERROR(VLOOKUP(A37,'Price Master List'!A:N,14,FALSE),0)</f>
        <v>0</v>
      </c>
      <c r="H37" s="28">
        <f t="shared" si="5"/>
        <v>0</v>
      </c>
      <c r="I37" s="38">
        <v>0</v>
      </c>
      <c r="J37" s="3">
        <f t="shared" si="6"/>
        <v>0</v>
      </c>
      <c r="K37" s="4">
        <f t="shared" si="7"/>
        <v>0</v>
      </c>
      <c r="L37" s="3">
        <f t="shared" si="8"/>
        <v>0</v>
      </c>
      <c r="M37" s="4">
        <f t="shared" si="9"/>
        <v>0</v>
      </c>
    </row>
    <row r="38" spans="1:13" x14ac:dyDescent="0.35">
      <c r="A38" t="s">
        <v>177</v>
      </c>
      <c r="B38" s="26">
        <f>VLOOKUP(A38,'Price Master List'!A:Q,15,FALSE)</f>
        <v>0.39</v>
      </c>
      <c r="C38" s="27" t="str">
        <f>VLOOKUP(A38,'Price Master List'!A:Q,16,FALSE)</f>
        <v>count</v>
      </c>
      <c r="D38" s="5" t="str">
        <f>VLOOKUP(A38,'Price Master List'!A:Q,17,FALSE)</f>
        <v>Costco</v>
      </c>
      <c r="E38" s="27">
        <f>IFERROR(VLOOKUP(A38,'Price Master List'!A:N,6,FALSE),0)</f>
        <v>0.39</v>
      </c>
      <c r="F38" s="27">
        <f>IFERROR(VLOOKUP(A38,'Price Master List'!A:N,10),0)</f>
        <v>0.39</v>
      </c>
      <c r="G38" s="27">
        <f>IFERROR(VLOOKUP(A38,'Price Master List'!A:N,14,FALSE),0)</f>
        <v>0.47</v>
      </c>
      <c r="H38" s="28">
        <f t="shared" si="5"/>
        <v>7.999999999999996E-2</v>
      </c>
      <c r="I38" s="38">
        <v>0</v>
      </c>
      <c r="J38" s="3">
        <f t="shared" si="6"/>
        <v>0</v>
      </c>
      <c r="K38" s="4">
        <f t="shared" si="7"/>
        <v>0</v>
      </c>
      <c r="L38" s="3">
        <f t="shared" si="8"/>
        <v>0</v>
      </c>
      <c r="M38" s="4">
        <f t="shared" si="9"/>
        <v>0</v>
      </c>
    </row>
    <row r="39" spans="1:13" x14ac:dyDescent="0.35">
      <c r="A39" t="s">
        <v>86</v>
      </c>
      <c r="B39" s="26">
        <f>VLOOKUP(A39,'Price Master List'!A:Q,15,FALSE)</f>
        <v>1.03</v>
      </c>
      <c r="C39" s="27" t="str">
        <f>VLOOKUP(A39,'Price Master List'!A:Q,16,FALSE)</f>
        <v>count</v>
      </c>
      <c r="D39" s="5" t="str">
        <f>VLOOKUP(A39,'Price Master List'!A:Q,17,FALSE)</f>
        <v>Aldi</v>
      </c>
      <c r="E39" s="27">
        <f>IFERROR(VLOOKUP(A39,'Price Master List'!A:N,6,FALSE),0)</f>
        <v>1.06</v>
      </c>
      <c r="F39" s="27">
        <f>IFERROR(VLOOKUP(A39,'Price Master List'!A:N,10),0)</f>
        <v>1.05</v>
      </c>
      <c r="G39" s="27">
        <f>IFERROR(VLOOKUP(A39,'Price Master List'!A:N,14,FALSE),0)</f>
        <v>1.03</v>
      </c>
      <c r="H39" s="28">
        <f t="shared" si="5"/>
        <v>0</v>
      </c>
      <c r="I39" s="38">
        <v>0</v>
      </c>
      <c r="J39" s="3">
        <f t="shared" si="6"/>
        <v>0</v>
      </c>
      <c r="K39" s="4">
        <f t="shared" si="7"/>
        <v>0</v>
      </c>
      <c r="L39" s="3">
        <f t="shared" si="8"/>
        <v>0</v>
      </c>
      <c r="M39" s="4">
        <f t="shared" si="9"/>
        <v>0</v>
      </c>
    </row>
    <row r="40" spans="1:13" x14ac:dyDescent="0.35">
      <c r="A40" t="s">
        <v>190</v>
      </c>
      <c r="B40" s="26">
        <f>VLOOKUP(A40,'Price Master List'!A:Q,15,FALSE)</f>
        <v>0.21</v>
      </c>
      <c r="C40" s="27" t="str">
        <f>VLOOKUP(A40,'Price Master List'!A:Q,16,FALSE)</f>
        <v>ounces</v>
      </c>
      <c r="D40" s="5" t="str">
        <f>VLOOKUP(A40,'Price Master List'!A:Q,17,FALSE)</f>
        <v>Costco</v>
      </c>
      <c r="E40" s="27">
        <f>IFERROR(VLOOKUP(A40,'Price Master List'!A:N,6,FALSE),0)</f>
        <v>0.21</v>
      </c>
      <c r="F40" s="27">
        <f>IFERROR(VLOOKUP(A40,'Price Master List'!A:N,10),0)</f>
        <v>0.21</v>
      </c>
      <c r="G40" s="27">
        <f>IFERROR(VLOOKUP(A40,'Price Master List'!A:N,14,FALSE),0)</f>
        <v>0</v>
      </c>
      <c r="H40" s="28">
        <f t="shared" si="5"/>
        <v>0</v>
      </c>
      <c r="I40" s="38">
        <v>0</v>
      </c>
      <c r="J40" s="3">
        <f t="shared" si="6"/>
        <v>0</v>
      </c>
      <c r="K40" s="4">
        <f t="shared" si="7"/>
        <v>0</v>
      </c>
      <c r="L40" s="3">
        <f t="shared" si="8"/>
        <v>0</v>
      </c>
      <c r="M40" s="4">
        <f t="shared" si="9"/>
        <v>0</v>
      </c>
    </row>
    <row r="41" spans="1:13" x14ac:dyDescent="0.35">
      <c r="A41" t="s">
        <v>159</v>
      </c>
      <c r="B41" s="26">
        <f>VLOOKUP(A41,'Price Master List'!A:Q,15,FALSE)</f>
        <v>0.21</v>
      </c>
      <c r="C41" s="27" t="str">
        <f>VLOOKUP(A41,'Price Master List'!A:Q,16,FALSE)</f>
        <v>ounces</v>
      </c>
      <c r="D41" s="5" t="str">
        <f>VLOOKUP(A41,'Price Master List'!A:Q,17,FALSE)</f>
        <v>Aldi</v>
      </c>
      <c r="E41" s="27">
        <f>IFERROR(VLOOKUP(A41,'Price Master List'!A:N,6,FALSE),0)</f>
        <v>0.32</v>
      </c>
      <c r="F41" s="27">
        <f>IFERROR(VLOOKUP(A41,'Price Master List'!A:N,10),0)</f>
        <v>0.28999999999999998</v>
      </c>
      <c r="G41" s="27">
        <f>IFERROR(VLOOKUP(A41,'Price Master List'!A:N,14,FALSE),0)</f>
        <v>0.21</v>
      </c>
      <c r="H41" s="28">
        <f t="shared" si="5"/>
        <v>0</v>
      </c>
      <c r="I41" s="38">
        <v>0</v>
      </c>
      <c r="J41" s="3">
        <f t="shared" si="6"/>
        <v>0</v>
      </c>
      <c r="K41" s="4">
        <f t="shared" si="7"/>
        <v>0</v>
      </c>
      <c r="L41" s="3">
        <f t="shared" si="8"/>
        <v>0</v>
      </c>
      <c r="M41" s="4">
        <f t="shared" si="9"/>
        <v>0</v>
      </c>
    </row>
    <row r="42" spans="1:13" x14ac:dyDescent="0.35">
      <c r="A42" t="s">
        <v>197</v>
      </c>
      <c r="B42" s="26">
        <f>VLOOKUP(A42,'Price Master List'!A:Q,15,FALSE)</f>
        <v>0.12</v>
      </c>
      <c r="C42" s="27" t="str">
        <f>VLOOKUP(A42,'Price Master List'!A:Q,16,FALSE)</f>
        <v>diapers</v>
      </c>
      <c r="D42" s="5" t="str">
        <f>VLOOKUP(A42,'Price Master List'!A:Q,17,FALSE)</f>
        <v>Aldi</v>
      </c>
      <c r="E42" s="27">
        <f>IFERROR(VLOOKUP(A42,'Price Master List'!A:N,6,FALSE),0)</f>
        <v>0.15</v>
      </c>
      <c r="F42" s="27">
        <f>IFERROR(VLOOKUP(A42,'Price Master List'!A:N,10),0)</f>
        <v>0.19</v>
      </c>
      <c r="G42" s="27">
        <f>IFERROR(VLOOKUP(A42,'Price Master List'!A:N,14,FALSE),0)</f>
        <v>0.12</v>
      </c>
      <c r="H42" s="28">
        <f t="shared" si="5"/>
        <v>0</v>
      </c>
      <c r="I42" s="38">
        <v>0</v>
      </c>
      <c r="J42" s="3">
        <f t="shared" si="6"/>
        <v>0</v>
      </c>
      <c r="K42" s="4">
        <f t="shared" si="7"/>
        <v>0</v>
      </c>
      <c r="L42" s="3">
        <f t="shared" si="8"/>
        <v>0</v>
      </c>
      <c r="M42" s="4">
        <f t="shared" si="9"/>
        <v>0</v>
      </c>
    </row>
    <row r="43" spans="1:13" x14ac:dyDescent="0.35">
      <c r="A43" t="s">
        <v>200</v>
      </c>
      <c r="B43" s="26">
        <f>VLOOKUP(A43,'Price Master List'!A:Q,15,FALSE)</f>
        <v>1.6E-2</v>
      </c>
      <c r="C43" s="27" t="str">
        <f>VLOOKUP(A43,'Price Master List'!A:Q,16,FALSE)</f>
        <v>wipes</v>
      </c>
      <c r="D43" s="5" t="str">
        <f>VLOOKUP(A43,'Price Master List'!A:Q,17,FALSE)</f>
        <v>Sam's Club</v>
      </c>
      <c r="E43" s="27">
        <f>IFERROR(VLOOKUP(A43,'Price Master List'!A:N,6,FALSE),0)</f>
        <v>1.6E-2</v>
      </c>
      <c r="F43" s="27">
        <f>IFERROR(VLOOKUP(A43,'Price Master List'!A:N,10),0)</f>
        <v>2.1999999999999999E-2</v>
      </c>
      <c r="G43" s="27">
        <f>IFERROR(VLOOKUP(A43,'Price Master List'!A:N,14,FALSE),0)</f>
        <v>1.7999999999999999E-2</v>
      </c>
      <c r="H43" s="28">
        <f t="shared" si="5"/>
        <v>1.9999999999999983E-3</v>
      </c>
      <c r="I43" s="38">
        <v>0</v>
      </c>
      <c r="J43" s="3">
        <f t="shared" si="6"/>
        <v>0</v>
      </c>
      <c r="K43" s="4">
        <f t="shared" si="7"/>
        <v>0</v>
      </c>
      <c r="L43" s="3">
        <f t="shared" si="8"/>
        <v>0</v>
      </c>
      <c r="M43" s="4">
        <f t="shared" si="9"/>
        <v>0</v>
      </c>
    </row>
    <row r="44" spans="1:13" x14ac:dyDescent="0.35">
      <c r="A44" t="s">
        <v>24</v>
      </c>
      <c r="B44" s="26">
        <f>VLOOKUP(A44,'Price Master List'!A:Q,15,FALSE)</f>
        <v>0.04</v>
      </c>
      <c r="C44" s="27" t="str">
        <f>VLOOKUP(A44,'Price Master List'!A:Q,16,FALSE)</f>
        <v>ounces</v>
      </c>
      <c r="D44" s="5" t="str">
        <f>VLOOKUP(A44,'Price Master List'!A:Q,17,FALSE)</f>
        <v>Aldi</v>
      </c>
      <c r="E44" s="27">
        <f>IFERROR(VLOOKUP(A44,'Price Master List'!A:N,6,FALSE),0)</f>
        <v>0.04</v>
      </c>
      <c r="F44" s="27">
        <f>IFERROR(VLOOKUP(A44,'Price Master List'!A:N,10),0)</f>
        <v>0.06</v>
      </c>
      <c r="G44" s="27">
        <f>IFERROR(VLOOKUP(A44,'Price Master List'!A:N,14,FALSE),0)</f>
        <v>0.04</v>
      </c>
      <c r="H44" s="28">
        <f t="shared" si="5"/>
        <v>0</v>
      </c>
      <c r="I44" s="38">
        <v>0</v>
      </c>
      <c r="J44" s="3">
        <f t="shared" si="6"/>
        <v>0</v>
      </c>
      <c r="K44" s="4">
        <f t="shared" si="7"/>
        <v>0</v>
      </c>
      <c r="L44" s="3">
        <f t="shared" si="8"/>
        <v>0</v>
      </c>
      <c r="M44" s="4">
        <f t="shared" si="9"/>
        <v>0</v>
      </c>
    </row>
    <row r="45" spans="1:13" x14ac:dyDescent="0.35">
      <c r="A45" t="s">
        <v>125</v>
      </c>
      <c r="B45" s="26">
        <f>VLOOKUP(A45,'Price Master List'!A:Q,15,FALSE)</f>
        <v>0.05</v>
      </c>
      <c r="C45" s="27" t="str">
        <f>VLOOKUP(A45,'Price Master List'!A:Q,16,FALSE)</f>
        <v>ounces</v>
      </c>
      <c r="D45" s="5" t="str">
        <f>VLOOKUP(A45,'Price Master List'!A:Q,17,FALSE)</f>
        <v>Aldi</v>
      </c>
      <c r="E45" s="27">
        <f>IFERROR(VLOOKUP(A45,'Price Master List'!A:N,6,FALSE),0)</f>
        <v>0.08</v>
      </c>
      <c r="F45" s="27">
        <f>IFERROR(VLOOKUP(A45,'Price Master List'!A:N,10),0)</f>
        <v>0.08</v>
      </c>
      <c r="G45" s="27">
        <f>IFERROR(VLOOKUP(A45,'Price Master List'!A:N,14,FALSE),0)</f>
        <v>0.05</v>
      </c>
      <c r="H45" s="28">
        <f t="shared" si="5"/>
        <v>0</v>
      </c>
      <c r="I45" s="38">
        <v>0</v>
      </c>
      <c r="J45" s="3">
        <f t="shared" si="6"/>
        <v>0</v>
      </c>
      <c r="K45" s="4">
        <f t="shared" si="7"/>
        <v>0</v>
      </c>
      <c r="L45" s="3">
        <f t="shared" si="8"/>
        <v>0</v>
      </c>
      <c r="M45" s="4">
        <f t="shared" si="9"/>
        <v>0</v>
      </c>
    </row>
    <row r="46" spans="1:13" x14ac:dyDescent="0.35">
      <c r="A46" t="s">
        <v>127</v>
      </c>
      <c r="B46" s="26">
        <f>VLOOKUP(A46,'Price Master List'!A:Q,15,FALSE)</f>
        <v>0.09</v>
      </c>
      <c r="C46" s="27" t="str">
        <f>VLOOKUP(A46,'Price Master List'!A:Q,16,FALSE)</f>
        <v>count</v>
      </c>
      <c r="D46" s="5" t="str">
        <f>VLOOKUP(A46,'Price Master List'!A:Q,17,FALSE)</f>
        <v>Costco</v>
      </c>
      <c r="E46" s="27">
        <f>IFERROR(VLOOKUP(A46,'Price Master List'!A:N,6,FALSE),0)</f>
        <v>0.2</v>
      </c>
      <c r="F46" s="27">
        <f>IFERROR(VLOOKUP(A46,'Price Master List'!A:N,10),0)</f>
        <v>0.09</v>
      </c>
      <c r="G46" s="27">
        <f>IFERROR(VLOOKUP(A46,'Price Master List'!A:N,14,FALSE),0)</f>
        <v>0</v>
      </c>
      <c r="H46" s="28">
        <f t="shared" si="5"/>
        <v>0</v>
      </c>
      <c r="I46" s="38">
        <v>0</v>
      </c>
      <c r="J46" s="3">
        <f t="shared" si="6"/>
        <v>0</v>
      </c>
      <c r="K46" s="4">
        <f t="shared" si="7"/>
        <v>0</v>
      </c>
      <c r="L46" s="3">
        <f t="shared" si="8"/>
        <v>0</v>
      </c>
      <c r="M46" s="4">
        <f t="shared" si="9"/>
        <v>0</v>
      </c>
    </row>
    <row r="47" spans="1:13" x14ac:dyDescent="0.35">
      <c r="A47" t="s">
        <v>138</v>
      </c>
      <c r="B47" s="26">
        <f>VLOOKUP(A47,'Price Master List'!A:Q,15,FALSE)</f>
        <v>0.87</v>
      </c>
      <c r="C47" s="27" t="str">
        <f>VLOOKUP(A47,'Price Master List'!A:Q,16,FALSE)</f>
        <v>pounds</v>
      </c>
      <c r="D47" s="5" t="str">
        <f>VLOOKUP(A47,'Price Master List'!A:Q,17,FALSE)</f>
        <v>Costco</v>
      </c>
      <c r="E47" s="27">
        <f>IFERROR(VLOOKUP(A47,'Price Master List'!A:N,6,FALSE),0)</f>
        <v>0.97</v>
      </c>
      <c r="F47" s="27">
        <f>IFERROR(VLOOKUP(A47,'Price Master List'!A:N,10),0)</f>
        <v>0.87</v>
      </c>
      <c r="G47" s="27">
        <f>IFERROR(VLOOKUP(A47,'Price Master List'!A:N,14,FALSE),0)</f>
        <v>0</v>
      </c>
      <c r="H47" s="28">
        <f t="shared" si="5"/>
        <v>0</v>
      </c>
      <c r="I47" s="38">
        <v>0</v>
      </c>
      <c r="J47" s="3">
        <f t="shared" si="6"/>
        <v>0</v>
      </c>
      <c r="K47" s="4">
        <f t="shared" si="7"/>
        <v>0</v>
      </c>
      <c r="L47" s="3">
        <f t="shared" si="8"/>
        <v>0</v>
      </c>
      <c r="M47" s="4">
        <f t="shared" si="9"/>
        <v>0</v>
      </c>
    </row>
    <row r="48" spans="1:13" x14ac:dyDescent="0.35">
      <c r="A48" t="s">
        <v>130</v>
      </c>
      <c r="B48" s="26">
        <f>VLOOKUP(A48,'Price Master List'!A:Q,15,FALSE)</f>
        <v>0.42</v>
      </c>
      <c r="C48" s="27" t="str">
        <f>VLOOKUP(A48,'Price Master List'!A:Q,16,FALSE)</f>
        <v>pounds</v>
      </c>
      <c r="D48" s="5" t="str">
        <f>VLOOKUP(A48,'Price Master List'!A:Q,17,FALSE)</f>
        <v>Sam's Club</v>
      </c>
      <c r="E48" s="27">
        <f>IFERROR(VLOOKUP(A48,'Price Master List'!A:N,6,FALSE),0)</f>
        <v>0.42</v>
      </c>
      <c r="F48" s="27">
        <f>IFERROR(VLOOKUP(A48,'Price Master List'!A:N,10),0)</f>
        <v>0.75</v>
      </c>
      <c r="G48" s="27">
        <f>IFERROR(VLOOKUP(A48,'Price Master List'!A:N,14,FALSE),0)</f>
        <v>0.5</v>
      </c>
      <c r="H48" s="28">
        <f t="shared" si="5"/>
        <v>8.0000000000000016E-2</v>
      </c>
      <c r="I48" s="38">
        <v>0</v>
      </c>
      <c r="J48" s="3">
        <f t="shared" si="6"/>
        <v>0</v>
      </c>
      <c r="K48" s="4">
        <f t="shared" si="7"/>
        <v>0</v>
      </c>
      <c r="L48" s="3">
        <f t="shared" si="8"/>
        <v>0</v>
      </c>
      <c r="M48" s="4">
        <f t="shared" si="9"/>
        <v>0</v>
      </c>
    </row>
    <row r="49" spans="1:13" x14ac:dyDescent="0.35">
      <c r="A49" t="s">
        <v>105</v>
      </c>
      <c r="B49" s="26">
        <f>VLOOKUP(A49,'Price Master List'!A:Q,15,FALSE)</f>
        <v>1.7</v>
      </c>
      <c r="C49" s="27" t="str">
        <f>VLOOKUP(A49,'Price Master List'!A:Q,16,FALSE)</f>
        <v>dozen</v>
      </c>
      <c r="D49" s="5" t="str">
        <f>VLOOKUP(A49,'Price Master List'!A:Q,17,FALSE)</f>
        <v>Costco</v>
      </c>
      <c r="E49" s="27">
        <f>IFERROR(VLOOKUP(A49,'Price Master List'!A:N,6,FALSE),0)</f>
        <v>1.72</v>
      </c>
      <c r="F49" s="27">
        <f>IFERROR(VLOOKUP(A49,'Price Master List'!A:N,10),0)</f>
        <v>1.7</v>
      </c>
      <c r="G49" s="27">
        <f>IFERROR(VLOOKUP(A49,'Price Master List'!A:N,14,FALSE),0)</f>
        <v>0</v>
      </c>
      <c r="H49" s="28">
        <f t="shared" si="5"/>
        <v>0</v>
      </c>
      <c r="I49" s="38">
        <v>0</v>
      </c>
      <c r="J49" s="3">
        <f t="shared" si="6"/>
        <v>0</v>
      </c>
      <c r="K49" s="4">
        <f t="shared" si="7"/>
        <v>0</v>
      </c>
      <c r="L49" s="3">
        <f t="shared" si="8"/>
        <v>0</v>
      </c>
      <c r="M49" s="4">
        <f t="shared" si="9"/>
        <v>0</v>
      </c>
    </row>
    <row r="50" spans="1:13" x14ac:dyDescent="0.35">
      <c r="A50" t="s">
        <v>213</v>
      </c>
      <c r="B50" s="26">
        <f>VLOOKUP(A50,'Price Master List'!A:Q,15,FALSE)</f>
        <v>1.55</v>
      </c>
      <c r="C50" s="27" t="str">
        <f>VLOOKUP(A50,'Price Master List'!A:Q,16,FALSE)</f>
        <v>dozen</v>
      </c>
      <c r="D50" s="5" t="str">
        <f>VLOOKUP(A50,'Price Master List'!A:Q,17,FALSE)</f>
        <v>Aldi</v>
      </c>
      <c r="E50" s="27">
        <f>IFERROR(VLOOKUP(A50,'Price Master List'!A:N,6,FALSE),0)</f>
        <v>1.74</v>
      </c>
      <c r="F50" s="27">
        <f>IFERROR(VLOOKUP(A50,'Price Master List'!A:N,10),0)</f>
        <v>1.75</v>
      </c>
      <c r="G50" s="27">
        <f>IFERROR(VLOOKUP(A50,'Price Master List'!A:N,14,FALSE),0)</f>
        <v>1.55</v>
      </c>
      <c r="H50" s="28">
        <f t="shared" si="5"/>
        <v>0</v>
      </c>
      <c r="I50" s="38">
        <v>0</v>
      </c>
      <c r="J50" s="3">
        <f t="shared" si="6"/>
        <v>0</v>
      </c>
      <c r="K50" s="4">
        <f t="shared" si="7"/>
        <v>0</v>
      </c>
      <c r="L50" s="3">
        <f t="shared" si="8"/>
        <v>0</v>
      </c>
      <c r="M50" s="4">
        <f t="shared" si="9"/>
        <v>0</v>
      </c>
    </row>
    <row r="51" spans="1:13" x14ac:dyDescent="0.35">
      <c r="A51" t="s">
        <v>124</v>
      </c>
      <c r="B51" s="26">
        <f>VLOOKUP(A51,'Price Master List'!A:Q,15,FALSE)</f>
        <v>0.02</v>
      </c>
      <c r="C51" s="27" t="str">
        <f>VLOOKUP(A51,'Price Master List'!A:Q,16,FALSE)</f>
        <v>count</v>
      </c>
      <c r="D51" s="5" t="str">
        <f>VLOOKUP(A51,'Price Master List'!A:Q,17,FALSE)</f>
        <v>Costco</v>
      </c>
      <c r="E51" s="27">
        <f>IFERROR(VLOOKUP(A51,'Price Master List'!A:N,6,FALSE),0)</f>
        <v>0.02</v>
      </c>
      <c r="F51" s="27">
        <f>IFERROR(VLOOKUP(A51,'Price Master List'!A:N,10),0)</f>
        <v>0.02</v>
      </c>
      <c r="G51" s="27">
        <f>IFERROR(VLOOKUP(A51,'Price Master List'!A:N,14,FALSE),0)</f>
        <v>0</v>
      </c>
      <c r="H51" s="28">
        <f t="shared" si="5"/>
        <v>0</v>
      </c>
      <c r="I51" s="38">
        <v>0</v>
      </c>
      <c r="J51" s="3">
        <f t="shared" si="6"/>
        <v>0</v>
      </c>
      <c r="K51" s="4">
        <f t="shared" si="7"/>
        <v>0</v>
      </c>
      <c r="L51" s="3">
        <f t="shared" si="8"/>
        <v>0</v>
      </c>
      <c r="M51" s="4">
        <f t="shared" si="9"/>
        <v>0</v>
      </c>
    </row>
    <row r="52" spans="1:13" x14ac:dyDescent="0.35">
      <c r="A52" t="s">
        <v>160</v>
      </c>
      <c r="B52" s="26">
        <f>VLOOKUP(A52,'Price Master List'!A:Q,15,FALSE)</f>
        <v>0.3</v>
      </c>
      <c r="C52" s="27" t="str">
        <f>VLOOKUP(A52,'Price Master List'!A:Q,16,FALSE)</f>
        <v>pounds</v>
      </c>
      <c r="D52" s="5" t="str">
        <f>VLOOKUP(A52,'Price Master List'!A:Q,17,FALSE)</f>
        <v>Aldi</v>
      </c>
      <c r="E52" s="27">
        <f>IFERROR(VLOOKUP(A52,'Price Master List'!A:N,6,FALSE),0)</f>
        <v>0.31</v>
      </c>
      <c r="F52" s="27">
        <f>IFERROR(VLOOKUP(A52,'Price Master List'!A:N,10),0)</f>
        <v>0.36</v>
      </c>
      <c r="G52" s="27">
        <f>IFERROR(VLOOKUP(A52,'Price Master List'!A:N,14,FALSE),0)</f>
        <v>0.3</v>
      </c>
      <c r="H52" s="28">
        <f t="shared" si="5"/>
        <v>0</v>
      </c>
      <c r="I52" s="38">
        <v>0</v>
      </c>
      <c r="J52" s="3">
        <f t="shared" si="6"/>
        <v>0</v>
      </c>
      <c r="K52" s="4">
        <f t="shared" si="7"/>
        <v>0</v>
      </c>
      <c r="L52" s="3">
        <f t="shared" si="8"/>
        <v>0</v>
      </c>
      <c r="M52" s="4">
        <f t="shared" si="9"/>
        <v>0</v>
      </c>
    </row>
    <row r="53" spans="1:13" x14ac:dyDescent="0.35">
      <c r="A53" t="s">
        <v>27</v>
      </c>
      <c r="B53" s="26">
        <f>VLOOKUP(A53,'Price Master List'!A:Q,15,FALSE)</f>
        <v>1.19</v>
      </c>
      <c r="C53" s="27" t="str">
        <f>VLOOKUP(A53,'Price Master List'!A:Q,16,FALSE)</f>
        <v>pounds</v>
      </c>
      <c r="D53" s="5" t="str">
        <f>VLOOKUP(A53,'Price Master List'!A:Q,17,FALSE)</f>
        <v>Aldi</v>
      </c>
      <c r="E53" s="27">
        <f>IFERROR(VLOOKUP(A53,'Price Master List'!A:N,6,FALSE),0)</f>
        <v>1.68</v>
      </c>
      <c r="F53" s="27">
        <f>IFERROR(VLOOKUP(A53,'Price Master List'!A:N,10),0)</f>
        <v>2</v>
      </c>
      <c r="G53" s="27">
        <f>IFERROR(VLOOKUP(A53,'Price Master List'!A:N,14,FALSE),0)</f>
        <v>1.19</v>
      </c>
      <c r="H53" s="28">
        <f t="shared" si="5"/>
        <v>0</v>
      </c>
      <c r="I53" s="38">
        <v>0</v>
      </c>
      <c r="J53" s="3">
        <f t="shared" si="6"/>
        <v>0</v>
      </c>
      <c r="K53" s="4">
        <f t="shared" si="7"/>
        <v>0</v>
      </c>
      <c r="L53" s="3">
        <f t="shared" si="8"/>
        <v>0</v>
      </c>
      <c r="M53" s="4">
        <f t="shared" si="9"/>
        <v>0</v>
      </c>
    </row>
    <row r="54" spans="1:13" x14ac:dyDescent="0.35">
      <c r="A54" t="s">
        <v>135</v>
      </c>
      <c r="B54" s="26">
        <f>VLOOKUP(A54,'Price Master List'!A:Q,15,FALSE)</f>
        <v>1.9</v>
      </c>
      <c r="C54" s="27" t="str">
        <f>VLOOKUP(A54,'Price Master List'!A:Q,16,FALSE)</f>
        <v>pounds</v>
      </c>
      <c r="D54" s="5" t="str">
        <f>VLOOKUP(A54,'Price Master List'!A:Q,17,FALSE)</f>
        <v>Sam's Club</v>
      </c>
      <c r="E54" s="27">
        <f>IFERROR(VLOOKUP(A54,'Price Master List'!A:N,6,FALSE),0)</f>
        <v>1.9</v>
      </c>
      <c r="F54" s="27">
        <f>IFERROR(VLOOKUP(A54,'Price Master List'!A:N,10),0)</f>
        <v>2.92</v>
      </c>
      <c r="G54" s="27">
        <f>IFERROR(VLOOKUP(A54,'Price Master List'!A:N,14,FALSE),0)</f>
        <v>2.15</v>
      </c>
      <c r="H54" s="28">
        <f t="shared" si="5"/>
        <v>0.25</v>
      </c>
      <c r="I54" s="38">
        <v>0</v>
      </c>
      <c r="J54" s="3">
        <f t="shared" si="6"/>
        <v>0</v>
      </c>
      <c r="K54" s="4">
        <f t="shared" si="7"/>
        <v>0</v>
      </c>
      <c r="L54" s="3">
        <f t="shared" si="8"/>
        <v>0</v>
      </c>
      <c r="M54" s="4">
        <f t="shared" si="9"/>
        <v>0</v>
      </c>
    </row>
    <row r="55" spans="1:13" x14ac:dyDescent="0.35">
      <c r="A55" t="s">
        <v>129</v>
      </c>
      <c r="B55" s="26">
        <f>VLOOKUP(A55,'Price Master List'!A:Q,15,FALSE)</f>
        <v>1.04</v>
      </c>
      <c r="C55" s="27" t="str">
        <f>VLOOKUP(A55,'Price Master List'!A:Q,16,FALSE)</f>
        <v>pounds</v>
      </c>
      <c r="D55" s="5" t="str">
        <f>VLOOKUP(A55,'Price Master List'!A:Q,17,FALSE)</f>
        <v>Aldi</v>
      </c>
      <c r="E55" s="27">
        <f>IFERROR(VLOOKUP(A55,'Price Master List'!A:N,6,FALSE),0)</f>
        <v>1.5</v>
      </c>
      <c r="F55" s="27">
        <f>IFERROR(VLOOKUP(A55,'Price Master List'!A:N,10),0)</f>
        <v>1.5</v>
      </c>
      <c r="G55" s="27">
        <f>IFERROR(VLOOKUP(A55,'Price Master List'!A:N,14,FALSE),0)</f>
        <v>1.04</v>
      </c>
      <c r="H55" s="28">
        <f t="shared" si="5"/>
        <v>0</v>
      </c>
      <c r="I55" s="38">
        <v>0</v>
      </c>
      <c r="J55" s="3">
        <f t="shared" si="6"/>
        <v>0</v>
      </c>
      <c r="K55" s="4">
        <f t="shared" si="7"/>
        <v>0</v>
      </c>
      <c r="L55" s="3">
        <f t="shared" si="8"/>
        <v>0</v>
      </c>
      <c r="M55" s="4">
        <f t="shared" si="9"/>
        <v>0</v>
      </c>
    </row>
    <row r="56" spans="1:13" x14ac:dyDescent="0.35">
      <c r="A56" t="s">
        <v>79</v>
      </c>
      <c r="B56" s="26">
        <f>VLOOKUP(A56,'Price Master List'!A:Q,15,FALSE)</f>
        <v>1.06</v>
      </c>
      <c r="C56" s="27" t="str">
        <f>VLOOKUP(A56,'Price Master List'!A:Q,16,FALSE)</f>
        <v>pound</v>
      </c>
      <c r="D56" s="5" t="str">
        <f>VLOOKUP(A56,'Price Master List'!A:Q,17,FALSE)</f>
        <v>Aldi</v>
      </c>
      <c r="E56" s="27">
        <f>IFERROR(VLOOKUP(A56,'Price Master List'!A:N,6,FALSE),0)</f>
        <v>1.34</v>
      </c>
      <c r="F56" s="27">
        <f>IFERROR(VLOOKUP(A56,'Price Master List'!A:N,10),0)</f>
        <v>1.82</v>
      </c>
      <c r="G56" s="27">
        <f>IFERROR(VLOOKUP(A56,'Price Master List'!A:N,14,FALSE),0)</f>
        <v>1.06</v>
      </c>
      <c r="H56" s="28">
        <f t="shared" si="5"/>
        <v>0</v>
      </c>
      <c r="I56" s="38">
        <v>0</v>
      </c>
      <c r="J56" s="3">
        <f t="shared" si="6"/>
        <v>0</v>
      </c>
      <c r="K56" s="4">
        <f t="shared" si="7"/>
        <v>0</v>
      </c>
      <c r="L56" s="3">
        <f t="shared" si="8"/>
        <v>0</v>
      </c>
      <c r="M56" s="4">
        <f t="shared" si="9"/>
        <v>0</v>
      </c>
    </row>
    <row r="57" spans="1:13" x14ac:dyDescent="0.35">
      <c r="A57" t="s">
        <v>195</v>
      </c>
      <c r="B57" s="26">
        <f>VLOOKUP(A57,'Price Master List'!A:Q,15,FALSE)</f>
        <v>0.3</v>
      </c>
      <c r="C57" s="27" t="str">
        <f>VLOOKUP(A57,'Price Master List'!A:Q,16,FALSE)</f>
        <v>ounces</v>
      </c>
      <c r="D57" s="5" t="str">
        <f>VLOOKUP(A57,'Price Master List'!A:Q,17,FALSE)</f>
        <v>Aldi</v>
      </c>
      <c r="E57" s="27">
        <f>IFERROR(VLOOKUP(A57,'Price Master List'!A:N,6,FALSE),0)</f>
        <v>0.4</v>
      </c>
      <c r="F57" s="27">
        <f>IFERROR(VLOOKUP(A57,'Price Master List'!A:N,10),0)</f>
        <v>0</v>
      </c>
      <c r="G57" s="27">
        <f>IFERROR(VLOOKUP(A57,'Price Master List'!A:N,14,FALSE),0)</f>
        <v>0.3</v>
      </c>
      <c r="H57" s="28">
        <f t="shared" si="5"/>
        <v>0</v>
      </c>
      <c r="I57" s="38">
        <v>0</v>
      </c>
      <c r="J57" s="3">
        <f t="shared" si="6"/>
        <v>0</v>
      </c>
      <c r="K57" s="4">
        <f t="shared" si="7"/>
        <v>0</v>
      </c>
      <c r="L57" s="3">
        <f t="shared" si="8"/>
        <v>0</v>
      </c>
      <c r="M57" s="4">
        <f t="shared" si="9"/>
        <v>0</v>
      </c>
    </row>
    <row r="58" spans="1:13" x14ac:dyDescent="0.35">
      <c r="A58" t="s">
        <v>80</v>
      </c>
      <c r="B58" s="26">
        <f>VLOOKUP(A58,'Price Master List'!A:Q,15,FALSE)</f>
        <v>0.6</v>
      </c>
      <c r="C58" s="27" t="str">
        <f>VLOOKUP(A58,'Price Master List'!A:Q,16,FALSE)</f>
        <v>pound</v>
      </c>
      <c r="D58" s="5" t="str">
        <f>VLOOKUP(A58,'Price Master List'!A:Q,17,FALSE)</f>
        <v>Costco</v>
      </c>
      <c r="E58" s="27">
        <f>IFERROR(VLOOKUP(A58,'Price Master List'!A:N,6,FALSE),0)</f>
        <v>0</v>
      </c>
      <c r="F58" s="27">
        <f>IFERROR(VLOOKUP(A58,'Price Master List'!A:N,10),0)</f>
        <v>0.6</v>
      </c>
      <c r="G58" s="27">
        <f>IFERROR(VLOOKUP(A58,'Price Master List'!A:N,14,FALSE),0)</f>
        <v>1.99</v>
      </c>
      <c r="H58" s="28">
        <f t="shared" si="5"/>
        <v>1.3900000000000001</v>
      </c>
      <c r="I58" s="38">
        <v>0</v>
      </c>
      <c r="J58" s="3">
        <f t="shared" si="6"/>
        <v>0</v>
      </c>
      <c r="K58" s="4">
        <f t="shared" si="7"/>
        <v>0</v>
      </c>
      <c r="L58" s="3">
        <f t="shared" si="8"/>
        <v>0</v>
      </c>
      <c r="M58" s="4">
        <f t="shared" si="9"/>
        <v>0</v>
      </c>
    </row>
    <row r="59" spans="1:13" x14ac:dyDescent="0.35">
      <c r="A59" t="s">
        <v>181</v>
      </c>
      <c r="B59" s="26">
        <f>VLOOKUP(A59,'Price Master List'!A:Q,15,FALSE)</f>
        <v>0.15</v>
      </c>
      <c r="C59" s="27" t="str">
        <f>VLOOKUP(A59,'Price Master List'!A:Q,16,FALSE)</f>
        <v>ounces</v>
      </c>
      <c r="D59" s="5" t="str">
        <f>VLOOKUP(A59,'Price Master List'!A:Q,17,FALSE)</f>
        <v>Costco</v>
      </c>
      <c r="E59" s="27">
        <f>IFERROR(VLOOKUP(A59,'Price Master List'!A:N,6,FALSE),0)</f>
        <v>0.16</v>
      </c>
      <c r="F59" s="27">
        <f>IFERROR(VLOOKUP(A59,'Price Master List'!A:N,10),0)</f>
        <v>0.15</v>
      </c>
      <c r="G59" s="27">
        <f>IFERROR(VLOOKUP(A59,'Price Master List'!A:N,14,FALSE),0)</f>
        <v>0.37</v>
      </c>
      <c r="H59" s="28">
        <f t="shared" si="5"/>
        <v>0.22</v>
      </c>
      <c r="I59" s="38">
        <v>0</v>
      </c>
      <c r="J59" s="3">
        <f t="shared" si="6"/>
        <v>0</v>
      </c>
      <c r="K59" s="4">
        <f t="shared" si="7"/>
        <v>0</v>
      </c>
      <c r="L59" s="3">
        <f t="shared" si="8"/>
        <v>0</v>
      </c>
      <c r="M59" s="4">
        <f t="shared" si="9"/>
        <v>0</v>
      </c>
    </row>
    <row r="60" spans="1:13" x14ac:dyDescent="0.35">
      <c r="A60" t="s">
        <v>179</v>
      </c>
      <c r="B60" s="26">
        <f>VLOOKUP(A60,'Price Master List'!A:Q,15,FALSE)</f>
        <v>0.1</v>
      </c>
      <c r="C60" s="27" t="str">
        <f>VLOOKUP(A60,'Price Master List'!A:Q,16,FALSE)</f>
        <v>ounces</v>
      </c>
      <c r="D60" s="5" t="str">
        <f>VLOOKUP(A60,'Price Master List'!A:Q,17,FALSE)</f>
        <v>Aldi</v>
      </c>
      <c r="E60" s="27">
        <f>IFERROR(VLOOKUP(A60,'Price Master List'!A:N,6,FALSE),0)</f>
        <v>0.14000000000000001</v>
      </c>
      <c r="F60" s="27">
        <f>IFERROR(VLOOKUP(A60,'Price Master List'!A:N,10),0)</f>
        <v>0.14000000000000001</v>
      </c>
      <c r="G60" s="27">
        <f>IFERROR(VLOOKUP(A60,'Price Master List'!A:N,14,FALSE),0)</f>
        <v>0.1</v>
      </c>
      <c r="H60" s="28">
        <f t="shared" si="5"/>
        <v>0</v>
      </c>
      <c r="I60" s="38">
        <v>0</v>
      </c>
      <c r="J60" s="3">
        <f t="shared" si="6"/>
        <v>0</v>
      </c>
      <c r="K60" s="4">
        <f t="shared" si="7"/>
        <v>0</v>
      </c>
      <c r="L60" s="3">
        <f t="shared" si="8"/>
        <v>0</v>
      </c>
      <c r="M60" s="4">
        <f t="shared" si="9"/>
        <v>0</v>
      </c>
    </row>
    <row r="61" spans="1:13" x14ac:dyDescent="0.35">
      <c r="A61" t="s">
        <v>77</v>
      </c>
      <c r="B61" s="26">
        <f>VLOOKUP(A61,'Price Master List'!A:Q,15,FALSE)</f>
        <v>1.26</v>
      </c>
      <c r="C61" s="27" t="str">
        <f>VLOOKUP(A61,'Price Master List'!A:Q,16,FALSE)</f>
        <v>pound</v>
      </c>
      <c r="D61" s="5" t="str">
        <f>VLOOKUP(A61,'Price Master List'!A:Q,17,FALSE)</f>
        <v>Aldi</v>
      </c>
      <c r="E61" s="27">
        <f>IFERROR(VLOOKUP(A61,'Price Master List'!A:N,6,FALSE),0)</f>
        <v>2.99</v>
      </c>
      <c r="F61" s="27">
        <f>IFERROR(VLOOKUP(A61,'Price Master List'!A:N,10),0)</f>
        <v>2.95</v>
      </c>
      <c r="G61" s="27">
        <f>IFERROR(VLOOKUP(A61,'Price Master List'!A:N,14,FALSE),0)</f>
        <v>1.26</v>
      </c>
      <c r="H61" s="28">
        <f t="shared" si="5"/>
        <v>0</v>
      </c>
      <c r="I61" s="38">
        <v>0</v>
      </c>
      <c r="J61" s="3">
        <f t="shared" si="6"/>
        <v>0</v>
      </c>
      <c r="K61" s="4">
        <f t="shared" si="7"/>
        <v>0</v>
      </c>
      <c r="L61" s="3">
        <f t="shared" si="8"/>
        <v>0</v>
      </c>
      <c r="M61" s="4">
        <f t="shared" si="9"/>
        <v>0</v>
      </c>
    </row>
    <row r="62" spans="1:13" x14ac:dyDescent="0.35">
      <c r="A62" t="s">
        <v>173</v>
      </c>
      <c r="B62" s="26">
        <f>VLOOKUP(A62,'Price Master List'!A:Q,15,FALSE)</f>
        <v>1.75</v>
      </c>
      <c r="C62" s="27" t="str">
        <f>VLOOKUP(A62,'Price Master List'!A:Q,16,FALSE)</f>
        <v>pound</v>
      </c>
      <c r="D62" s="5" t="str">
        <f>VLOOKUP(A62,'Price Master List'!A:Q,17,FALSE)</f>
        <v>Aldi</v>
      </c>
      <c r="E62" s="27">
        <f>IFERROR(VLOOKUP(A62,'Price Master List'!A:N,6,FALSE),0)</f>
        <v>2.74</v>
      </c>
      <c r="F62" s="27">
        <f>IFERROR(VLOOKUP(A62,'Price Master List'!A:N,10),0)</f>
        <v>3.5</v>
      </c>
      <c r="G62" s="27">
        <f>IFERROR(VLOOKUP(A62,'Price Master List'!A:N,14,FALSE),0)</f>
        <v>1.75</v>
      </c>
      <c r="H62" s="28">
        <f t="shared" si="5"/>
        <v>0</v>
      </c>
      <c r="I62" s="38">
        <v>0</v>
      </c>
      <c r="J62" s="3">
        <f t="shared" si="6"/>
        <v>0</v>
      </c>
      <c r="K62" s="4">
        <f t="shared" si="7"/>
        <v>0</v>
      </c>
      <c r="L62" s="3">
        <f t="shared" si="8"/>
        <v>0</v>
      </c>
      <c r="M62" s="4">
        <f t="shared" si="9"/>
        <v>0</v>
      </c>
    </row>
    <row r="63" spans="1:13" x14ac:dyDescent="0.35">
      <c r="A63" t="s">
        <v>19</v>
      </c>
      <c r="B63" s="26">
        <f>VLOOKUP(A63,'Price Master List'!A:Q,15,FALSE)</f>
        <v>0.66</v>
      </c>
      <c r="C63" s="27" t="str">
        <f>VLOOKUP(A63,'Price Master List'!A:Q,16,FALSE)</f>
        <v>count</v>
      </c>
      <c r="D63" s="5" t="str">
        <f>VLOOKUP(A63,'Price Master List'!A:Q,17,FALSE)</f>
        <v>Aldi</v>
      </c>
      <c r="E63" s="27">
        <f>IFERROR(VLOOKUP(A63,'Price Master List'!A:N,6,FALSE),0)</f>
        <v>0.83</v>
      </c>
      <c r="F63" s="27">
        <f>IFERROR(VLOOKUP(A63,'Price Master List'!A:N,10),0)</f>
        <v>0</v>
      </c>
      <c r="G63" s="27">
        <f>IFERROR(VLOOKUP(A63,'Price Master List'!A:N,14,FALSE),0)</f>
        <v>0.66</v>
      </c>
      <c r="H63" s="28">
        <f t="shared" si="5"/>
        <v>0</v>
      </c>
      <c r="I63" s="38">
        <v>0</v>
      </c>
      <c r="J63" s="3">
        <f t="shared" si="6"/>
        <v>0</v>
      </c>
      <c r="K63" s="4">
        <f t="shared" si="7"/>
        <v>0</v>
      </c>
      <c r="L63" s="3">
        <f t="shared" si="8"/>
        <v>0</v>
      </c>
      <c r="M63" s="4">
        <f t="shared" si="9"/>
        <v>0</v>
      </c>
    </row>
    <row r="64" spans="1:13" x14ac:dyDescent="0.35">
      <c r="A64" t="s">
        <v>7</v>
      </c>
      <c r="B64" s="26">
        <f>VLOOKUP(A64,'Price Master List'!A:Q,15,FALSE)</f>
        <v>3.28</v>
      </c>
      <c r="C64" s="27" t="str">
        <f>VLOOKUP(A64,'Price Master List'!A:Q,16,FALSE)</f>
        <v>pound</v>
      </c>
      <c r="D64" s="5" t="str">
        <f>VLOOKUP(A64,'Price Master List'!A:Q,17,FALSE)</f>
        <v>Sam's Club</v>
      </c>
      <c r="E64" s="27">
        <f>IFERROR(VLOOKUP(A64,'Price Master List'!A:N,6,FALSE),0)</f>
        <v>3.28</v>
      </c>
      <c r="F64" s="27">
        <f>IFERROR(VLOOKUP(A64,'Price Master List'!A:N,10),0)</f>
        <v>4.1900000000000004</v>
      </c>
      <c r="G64" s="27">
        <f>IFERROR(VLOOKUP(A64,'Price Master List'!A:N,14,FALSE),0)</f>
        <v>3.58</v>
      </c>
      <c r="H64" s="28">
        <f t="shared" si="5"/>
        <v>0.30000000000000027</v>
      </c>
      <c r="I64" s="38">
        <v>0</v>
      </c>
      <c r="J64" s="3">
        <f t="shared" si="6"/>
        <v>0</v>
      </c>
      <c r="K64" s="4">
        <f t="shared" si="7"/>
        <v>0</v>
      </c>
      <c r="L64" s="3">
        <f t="shared" si="8"/>
        <v>0</v>
      </c>
      <c r="M64" s="4">
        <f t="shared" si="9"/>
        <v>0</v>
      </c>
    </row>
    <row r="65" spans="1:13" x14ac:dyDescent="0.35">
      <c r="A65" t="s">
        <v>6</v>
      </c>
      <c r="B65" s="26">
        <f>VLOOKUP(A65,'Price Master List'!A:Q,15,FALSE)</f>
        <v>1.99</v>
      </c>
      <c r="C65" s="27" t="str">
        <f>VLOOKUP(A65,'Price Master List'!A:Q,16,FALSE)</f>
        <v>pound</v>
      </c>
      <c r="D65" s="5" t="str">
        <f>VLOOKUP(A65,'Price Master List'!A:Q,17,FALSE)</f>
        <v>Aldi</v>
      </c>
      <c r="E65" s="27">
        <f>IFERROR(VLOOKUP(A65,'Price Master List'!A:N,6,FALSE),0)</f>
        <v>2.9</v>
      </c>
      <c r="F65" s="27">
        <f>IFERROR(VLOOKUP(A65,'Price Master List'!A:N,10),0)</f>
        <v>2.59</v>
      </c>
      <c r="G65" s="27">
        <f>IFERROR(VLOOKUP(A65,'Price Master List'!A:N,14,FALSE),0)</f>
        <v>1.99</v>
      </c>
      <c r="H65" s="28">
        <f t="shared" si="5"/>
        <v>0</v>
      </c>
      <c r="I65" s="38">
        <v>0</v>
      </c>
      <c r="J65" s="3">
        <f t="shared" si="6"/>
        <v>0</v>
      </c>
      <c r="K65" s="4">
        <f t="shared" si="7"/>
        <v>0</v>
      </c>
      <c r="L65" s="3">
        <f t="shared" si="8"/>
        <v>0</v>
      </c>
      <c r="M65" s="4">
        <f t="shared" si="9"/>
        <v>0</v>
      </c>
    </row>
    <row r="66" spans="1:13" x14ac:dyDescent="0.35">
      <c r="A66" t="s">
        <v>112</v>
      </c>
      <c r="B66" s="26">
        <f>VLOOKUP(A66,'Price Master List'!A:Q,15,FALSE)</f>
        <v>4.58</v>
      </c>
      <c r="C66" s="27" t="str">
        <f>VLOOKUP(A66,'Price Master List'!A:Q,16,FALSE)</f>
        <v>pound</v>
      </c>
      <c r="D66" s="5" t="str">
        <f>VLOOKUP(A66,'Price Master List'!A:Q,17,FALSE)</f>
        <v>Sam's Club</v>
      </c>
      <c r="E66" s="27">
        <f>IFERROR(VLOOKUP(A66,'Price Master List'!A:N,6,FALSE),0)</f>
        <v>4.58</v>
      </c>
      <c r="F66" s="27">
        <f>IFERROR(VLOOKUP(A66,'Price Master List'!A:N,10),0)</f>
        <v>5.89</v>
      </c>
      <c r="G66" s="27">
        <f>IFERROR(VLOOKUP(A66,'Price Master List'!A:N,14,FALSE),0)</f>
        <v>5.49</v>
      </c>
      <c r="H66" s="28">
        <f t="shared" si="5"/>
        <v>0.91000000000000014</v>
      </c>
      <c r="I66" s="38">
        <v>0</v>
      </c>
      <c r="J66" s="3">
        <f t="shared" si="6"/>
        <v>0</v>
      </c>
      <c r="K66" s="4">
        <f t="shared" si="7"/>
        <v>0</v>
      </c>
      <c r="L66" s="3">
        <f t="shared" si="8"/>
        <v>0</v>
      </c>
      <c r="M66" s="4">
        <f t="shared" si="9"/>
        <v>0</v>
      </c>
    </row>
    <row r="67" spans="1:13" x14ac:dyDescent="0.35">
      <c r="A67" t="s">
        <v>38</v>
      </c>
      <c r="B67" s="26">
        <f>VLOOKUP(A67,'Price Master List'!A:Q,15,FALSE)</f>
        <v>0.17</v>
      </c>
      <c r="C67" s="27" t="str">
        <f>VLOOKUP(A67,'Price Master List'!A:Q,16,FALSE)</f>
        <v>ounces</v>
      </c>
      <c r="D67" s="5" t="str">
        <f>VLOOKUP(A67,'Price Master List'!A:Q,17,FALSE)</f>
        <v>Costco</v>
      </c>
      <c r="E67" s="27">
        <f>IFERROR(VLOOKUP(A67,'Price Master List'!A:N,6,FALSE),0)</f>
        <v>0.23</v>
      </c>
      <c r="F67" s="27">
        <f>IFERROR(VLOOKUP(A67,'Price Master List'!A:N,10),0)</f>
        <v>0.17</v>
      </c>
      <c r="G67" s="27">
        <f>IFERROR(VLOOKUP(A67,'Price Master List'!A:N,14,FALSE),0)</f>
        <v>0.28999999999999998</v>
      </c>
      <c r="H67" s="28">
        <f t="shared" ref="H67" si="10">IF(G67=0,0,G67-B67)</f>
        <v>0.11999999999999997</v>
      </c>
      <c r="I67" s="38">
        <v>0</v>
      </c>
      <c r="J67" s="3">
        <f t="shared" ref="J67:J98" si="11">IF(D67="Sam's Club",H67*I67*12,0)</f>
        <v>0</v>
      </c>
      <c r="K67" s="4">
        <f t="shared" ref="K67:K98" si="12">IF(D67="Costco",H67*I67*12,0)</f>
        <v>0</v>
      </c>
      <c r="L67" s="3">
        <f t="shared" ref="L67:L98" si="13">IF(E67&gt;0,IF(G67&gt;0,IF(G67&gt;E67,(G67-E67)*I67*12,0),0),0)</f>
        <v>0</v>
      </c>
      <c r="M67" s="4">
        <f t="shared" ref="M67:M98" si="14">IF(F67&gt;0,IF(G67&gt;0,IF(G67&gt;F67,(G67-F67)*I67*12,0),0),0)</f>
        <v>0</v>
      </c>
    </row>
    <row r="68" spans="1:13" x14ac:dyDescent="0.35">
      <c r="A68" t="s">
        <v>33</v>
      </c>
      <c r="B68" s="26">
        <f>VLOOKUP(A68,'Price Master List'!A:Q,15,FALSE)</f>
        <v>0.14000000000000001</v>
      </c>
      <c r="C68" s="27" t="str">
        <f>VLOOKUP(A68,'Price Master List'!A:Q,16,FALSE)</f>
        <v>ounces</v>
      </c>
      <c r="D68" s="5" t="str">
        <f>VLOOKUP(A68,'Price Master List'!A:Q,17,FALSE)</f>
        <v>Costco</v>
      </c>
      <c r="E68" s="27">
        <f>IFERROR(VLOOKUP(A68,'Price Master List'!A:N,6,FALSE),0)</f>
        <v>0.14000000000000001</v>
      </c>
      <c r="F68" s="27">
        <f>IFERROR(VLOOKUP(A68,'Price Master List'!A:N,10),0)</f>
        <v>0.14000000000000001</v>
      </c>
      <c r="G68" s="27">
        <f>IFERROR(VLOOKUP(A68,'Price Master List'!A:N,14,FALSE),0)</f>
        <v>0.23</v>
      </c>
      <c r="H68" s="28">
        <f t="shared" ref="H68:H131" si="15">IF(G68=0,0,G68-B68)</f>
        <v>0.09</v>
      </c>
      <c r="I68" s="38">
        <v>0</v>
      </c>
      <c r="J68" s="3">
        <f t="shared" si="11"/>
        <v>0</v>
      </c>
      <c r="K68" s="4">
        <f t="shared" si="12"/>
        <v>0</v>
      </c>
      <c r="L68" s="3">
        <f t="shared" si="13"/>
        <v>0</v>
      </c>
      <c r="M68" s="4">
        <f t="shared" si="14"/>
        <v>0</v>
      </c>
    </row>
    <row r="69" spans="1:13" x14ac:dyDescent="0.35">
      <c r="A69" t="s">
        <v>194</v>
      </c>
      <c r="B69" s="26">
        <f>VLOOKUP(A69,'Price Master List'!A:Q,15,FALSE)</f>
        <v>1.5</v>
      </c>
      <c r="C69" s="27" t="str">
        <f>VLOOKUP(A69,'Price Master List'!A:Q,16,FALSE)</f>
        <v>count</v>
      </c>
      <c r="D69" s="5" t="str">
        <f>VLOOKUP(A69,'Price Master List'!A:Q,17,FALSE)</f>
        <v>Costco</v>
      </c>
      <c r="E69" s="27">
        <f>IFERROR(VLOOKUP(A69,'Price Master List'!A:N,6,FALSE),0)</f>
        <v>1.5</v>
      </c>
      <c r="F69" s="27">
        <f>IFERROR(VLOOKUP(A69,'Price Master List'!A:N,10),0)</f>
        <v>1.5</v>
      </c>
      <c r="G69" s="27">
        <f>IFERROR(VLOOKUP(A69,'Price Master List'!A:N,14,FALSE),0)</f>
        <v>2.39</v>
      </c>
      <c r="H69" s="28">
        <f t="shared" si="15"/>
        <v>0.89000000000000012</v>
      </c>
      <c r="I69" s="38">
        <v>0</v>
      </c>
      <c r="J69" s="3">
        <f t="shared" si="11"/>
        <v>0</v>
      </c>
      <c r="K69" s="4">
        <f t="shared" si="12"/>
        <v>0</v>
      </c>
      <c r="L69" s="3">
        <f t="shared" si="13"/>
        <v>0</v>
      </c>
      <c r="M69" s="4">
        <f t="shared" si="14"/>
        <v>0</v>
      </c>
    </row>
    <row r="70" spans="1:13" x14ac:dyDescent="0.35">
      <c r="A70" t="s">
        <v>148</v>
      </c>
      <c r="B70" s="26">
        <f>VLOOKUP(A70,'Price Master List'!A:Q,15,FALSE)</f>
        <v>2.62</v>
      </c>
      <c r="C70" s="27" t="str">
        <f>VLOOKUP(A70,'Price Master List'!A:Q,16,FALSE)</f>
        <v>pound</v>
      </c>
      <c r="D70" s="5" t="str">
        <f>VLOOKUP(A70,'Price Master List'!A:Q,17,FALSE)</f>
        <v>Aldi</v>
      </c>
      <c r="E70" s="27">
        <f>IFERROR(VLOOKUP(A70,'Price Master List'!A:N,6,FALSE),0)</f>
        <v>2.89</v>
      </c>
      <c r="F70" s="27">
        <f>IFERROR(VLOOKUP(A70,'Price Master List'!A:N,10),0)</f>
        <v>4.8</v>
      </c>
      <c r="G70" s="27">
        <f>IFERROR(VLOOKUP(A70,'Price Master List'!A:N,14,FALSE),0)</f>
        <v>2.62</v>
      </c>
      <c r="H70" s="28">
        <f t="shared" si="15"/>
        <v>0</v>
      </c>
      <c r="I70" s="38">
        <v>0</v>
      </c>
      <c r="J70" s="3">
        <f t="shared" si="11"/>
        <v>0</v>
      </c>
      <c r="K70" s="4">
        <f t="shared" si="12"/>
        <v>0</v>
      </c>
      <c r="L70" s="3">
        <f t="shared" si="13"/>
        <v>0</v>
      </c>
      <c r="M70" s="4">
        <f t="shared" si="14"/>
        <v>0</v>
      </c>
    </row>
    <row r="71" spans="1:13" x14ac:dyDescent="0.35">
      <c r="A71" t="s">
        <v>104</v>
      </c>
      <c r="B71" s="26">
        <f>VLOOKUP(A71,'Price Master List'!A:Q,15,FALSE)</f>
        <v>0.12</v>
      </c>
      <c r="C71" s="27" t="str">
        <f>VLOOKUP(A71,'Price Master List'!A:Q,16,FALSE)</f>
        <v>ounces</v>
      </c>
      <c r="D71" s="5" t="str">
        <f>VLOOKUP(A71,'Price Master List'!A:Q,17,FALSE)</f>
        <v>Sam's Club</v>
      </c>
      <c r="E71" s="27">
        <f>IFERROR(VLOOKUP(A71,'Price Master List'!A:N,6,FALSE),0)</f>
        <v>0.12</v>
      </c>
      <c r="F71" s="27">
        <f>IFERROR(VLOOKUP(A71,'Price Master List'!A:N,10),0)</f>
        <v>0.18</v>
      </c>
      <c r="G71" s="27">
        <f>IFERROR(VLOOKUP(A71,'Price Master List'!A:N,14,FALSE),0)</f>
        <v>0.15</v>
      </c>
      <c r="H71" s="28">
        <f t="shared" si="15"/>
        <v>0.03</v>
      </c>
      <c r="I71" s="38">
        <v>0</v>
      </c>
      <c r="J71" s="3">
        <f t="shared" si="11"/>
        <v>0</v>
      </c>
      <c r="K71" s="4">
        <f t="shared" si="12"/>
        <v>0</v>
      </c>
      <c r="L71" s="3">
        <f t="shared" si="13"/>
        <v>0</v>
      </c>
      <c r="M71" s="4">
        <f t="shared" si="14"/>
        <v>0</v>
      </c>
    </row>
    <row r="72" spans="1:13" x14ac:dyDescent="0.35">
      <c r="A72" t="s">
        <v>193</v>
      </c>
      <c r="B72" s="26">
        <f>VLOOKUP(A72,'Price Master List'!A:Q,15,FALSE)</f>
        <v>0.01</v>
      </c>
      <c r="C72" s="27" t="str">
        <f>VLOOKUP(A72,'Price Master List'!A:Q,16,FALSE)</f>
        <v>count</v>
      </c>
      <c r="D72" s="5" t="str">
        <f>VLOOKUP(A72,'Price Master List'!A:Q,17,FALSE)</f>
        <v>Costco</v>
      </c>
      <c r="E72" s="27">
        <f>IFERROR(VLOOKUP(A72,'Price Master List'!A:N,6,FALSE),0)</f>
        <v>0.01</v>
      </c>
      <c r="F72" s="27">
        <f>IFERROR(VLOOKUP(A72,'Price Master List'!A:N,10),0)</f>
        <v>0.01</v>
      </c>
      <c r="G72" s="27">
        <f>IFERROR(VLOOKUP(A72,'Price Master List'!A:N,14,FALSE),0)</f>
        <v>0.02</v>
      </c>
      <c r="H72" s="28">
        <f t="shared" si="15"/>
        <v>0.01</v>
      </c>
      <c r="I72" s="38">
        <v>0</v>
      </c>
      <c r="J72" s="3">
        <f t="shared" si="11"/>
        <v>0</v>
      </c>
      <c r="K72" s="4">
        <f t="shared" si="12"/>
        <v>0</v>
      </c>
      <c r="L72" s="3">
        <f t="shared" si="13"/>
        <v>0</v>
      </c>
      <c r="M72" s="4">
        <f t="shared" si="14"/>
        <v>0</v>
      </c>
    </row>
    <row r="73" spans="1:13" x14ac:dyDescent="0.35">
      <c r="A73" t="s">
        <v>29</v>
      </c>
      <c r="B73" s="26">
        <f>VLOOKUP(A73,'Price Master List'!A:Q,15,FALSE)</f>
        <v>1</v>
      </c>
      <c r="C73" s="27" t="str">
        <f>VLOOKUP(A73,'Price Master List'!A:Q,16,FALSE)</f>
        <v>ounces</v>
      </c>
      <c r="D73" s="5" t="str">
        <f>VLOOKUP(A73,'Price Master List'!A:Q,17,FALSE)</f>
        <v>Sam's Club</v>
      </c>
      <c r="E73" s="27">
        <f>IFERROR(VLOOKUP(A73,'Price Master List'!A:N,6,FALSE),0)</f>
        <v>1</v>
      </c>
      <c r="F73" s="27">
        <f>IFERROR(VLOOKUP(A73,'Price Master List'!A:N,10),0)</f>
        <v>0</v>
      </c>
      <c r="G73" s="27">
        <f>IFERROR(VLOOKUP(A73,'Price Master List'!A:N,14,FALSE),0)</f>
        <v>1.27</v>
      </c>
      <c r="H73" s="28">
        <f t="shared" si="15"/>
        <v>0.27</v>
      </c>
      <c r="I73" s="38">
        <v>0</v>
      </c>
      <c r="J73" s="3">
        <f t="shared" si="11"/>
        <v>0</v>
      </c>
      <c r="K73" s="4">
        <f t="shared" si="12"/>
        <v>0</v>
      </c>
      <c r="L73" s="3">
        <f t="shared" si="13"/>
        <v>0</v>
      </c>
      <c r="M73" s="4">
        <f t="shared" si="14"/>
        <v>0</v>
      </c>
    </row>
    <row r="74" spans="1:13" x14ac:dyDescent="0.35">
      <c r="A74" t="s">
        <v>21</v>
      </c>
      <c r="B74" s="26">
        <f>VLOOKUP(A74,'Price Master List'!A:Q,15,FALSE)</f>
        <v>0.78</v>
      </c>
      <c r="C74" s="27" t="str">
        <f>VLOOKUP(A74,'Price Master List'!A:Q,16,FALSE)</f>
        <v>pounds</v>
      </c>
      <c r="D74" s="5" t="str">
        <f>VLOOKUP(A74,'Price Master List'!A:Q,17,FALSE)</f>
        <v>Costco</v>
      </c>
      <c r="E74" s="27">
        <f>IFERROR(VLOOKUP(A74,'Price Master List'!A:N,6,FALSE),0)</f>
        <v>1.2</v>
      </c>
      <c r="F74" s="27">
        <f>IFERROR(VLOOKUP(A74,'Price Master List'!A:N,10),0)</f>
        <v>0.78</v>
      </c>
      <c r="G74" s="27">
        <f>IFERROR(VLOOKUP(A74,'Price Master List'!A:N,14,FALSE),0)</f>
        <v>0.99</v>
      </c>
      <c r="H74" s="28">
        <f t="shared" si="15"/>
        <v>0.20999999999999996</v>
      </c>
      <c r="I74" s="38">
        <v>0</v>
      </c>
      <c r="J74" s="3">
        <f t="shared" si="11"/>
        <v>0</v>
      </c>
      <c r="K74" s="4">
        <f t="shared" si="12"/>
        <v>0</v>
      </c>
      <c r="L74" s="3">
        <f t="shared" si="13"/>
        <v>0</v>
      </c>
      <c r="M74" s="4">
        <f t="shared" si="14"/>
        <v>0</v>
      </c>
    </row>
    <row r="75" spans="1:13" x14ac:dyDescent="0.35">
      <c r="A75" t="s">
        <v>165</v>
      </c>
      <c r="B75" s="26">
        <f>VLOOKUP(A75,'Price Master List'!A:Q,15,FALSE)</f>
        <v>0.04</v>
      </c>
      <c r="C75" s="27" t="str">
        <f>VLOOKUP(A75,'Price Master List'!A:Q,16,FALSE)</f>
        <v>ounces</v>
      </c>
      <c r="D75" s="5" t="str">
        <f>VLOOKUP(A75,'Price Master List'!A:Q,17,FALSE)</f>
        <v>Aldi</v>
      </c>
      <c r="E75" s="27">
        <f>IFERROR(VLOOKUP(A75,'Price Master List'!A:N,6,FALSE),0)</f>
        <v>0.06</v>
      </c>
      <c r="F75" s="27">
        <f>IFERROR(VLOOKUP(A75,'Price Master List'!A:N,10),0)</f>
        <v>7.0000000000000007E-2</v>
      </c>
      <c r="G75" s="27">
        <f>IFERROR(VLOOKUP(A75,'Price Master List'!A:N,14,FALSE),0)</f>
        <v>0.04</v>
      </c>
      <c r="H75" s="28">
        <f t="shared" si="15"/>
        <v>0</v>
      </c>
      <c r="I75" s="38">
        <v>0</v>
      </c>
      <c r="J75" s="3">
        <f t="shared" si="11"/>
        <v>0</v>
      </c>
      <c r="K75" s="4">
        <f t="shared" si="12"/>
        <v>0</v>
      </c>
      <c r="L75" s="3">
        <f t="shared" si="13"/>
        <v>0</v>
      </c>
      <c r="M75" s="4">
        <f t="shared" si="14"/>
        <v>0</v>
      </c>
    </row>
    <row r="76" spans="1:13" x14ac:dyDescent="0.35">
      <c r="A76" t="s">
        <v>133</v>
      </c>
      <c r="B76" s="26">
        <f>VLOOKUP(A76,'Price Master List'!A:Q,15,FALSE)</f>
        <v>0.21</v>
      </c>
      <c r="C76" s="27" t="str">
        <f>VLOOKUP(A76,'Price Master List'!A:Q,16,FALSE)</f>
        <v>pounds</v>
      </c>
      <c r="D76" s="5" t="str">
        <f>VLOOKUP(A76,'Price Master List'!A:Q,17,FALSE)</f>
        <v>Sam's Club</v>
      </c>
      <c r="E76" s="27">
        <f>IFERROR(VLOOKUP(A76,'Price Master List'!A:N,6,FALSE),0)</f>
        <v>0.21</v>
      </c>
      <c r="F76" s="27">
        <f>IFERROR(VLOOKUP(A76,'Price Master List'!A:N,10),0)</f>
        <v>0.31</v>
      </c>
      <c r="G76" s="27">
        <f>IFERROR(VLOOKUP(A76,'Price Master List'!A:N,14,FALSE),0)</f>
        <v>0.35</v>
      </c>
      <c r="H76" s="28">
        <f t="shared" si="15"/>
        <v>0.13999999999999999</v>
      </c>
      <c r="I76" s="38">
        <v>0</v>
      </c>
      <c r="J76" s="3">
        <f t="shared" si="11"/>
        <v>0</v>
      </c>
      <c r="K76" s="4">
        <f t="shared" si="12"/>
        <v>0</v>
      </c>
      <c r="L76" s="3">
        <f t="shared" si="13"/>
        <v>0</v>
      </c>
      <c r="M76" s="4">
        <f t="shared" si="14"/>
        <v>0</v>
      </c>
    </row>
    <row r="77" spans="1:13" x14ac:dyDescent="0.35">
      <c r="A77" t="s">
        <v>176</v>
      </c>
      <c r="B77" s="26">
        <f>VLOOKUP(A77,'Price Master List'!A:Q,15,FALSE)</f>
        <v>0.04</v>
      </c>
      <c r="C77" s="27" t="str">
        <f>VLOOKUP(A77,'Price Master List'!A:Q,16,FALSE)</f>
        <v>pounds</v>
      </c>
      <c r="D77" s="5" t="str">
        <f>VLOOKUP(A77,'Price Master List'!A:Q,17,FALSE)</f>
        <v>Aldi</v>
      </c>
      <c r="E77" s="27">
        <f>IFERROR(VLOOKUP(A77,'Price Master List'!A:N,6,FALSE),0)</f>
        <v>0.37</v>
      </c>
      <c r="F77" s="27">
        <f>IFERROR(VLOOKUP(A77,'Price Master List'!A:N,10),0)</f>
        <v>0.38</v>
      </c>
      <c r="G77" s="27">
        <f>IFERROR(VLOOKUP(A77,'Price Master List'!A:N,14,FALSE),0)</f>
        <v>0.04</v>
      </c>
      <c r="H77" s="28">
        <f t="shared" si="15"/>
        <v>0</v>
      </c>
      <c r="I77" s="38">
        <v>0</v>
      </c>
      <c r="J77" s="3">
        <f t="shared" si="11"/>
        <v>0</v>
      </c>
      <c r="K77" s="4">
        <f t="shared" si="12"/>
        <v>0</v>
      </c>
      <c r="L77" s="3">
        <f t="shared" si="13"/>
        <v>0</v>
      </c>
      <c r="M77" s="4">
        <f t="shared" si="14"/>
        <v>0</v>
      </c>
    </row>
    <row r="78" spans="1:13" x14ac:dyDescent="0.35">
      <c r="A78" t="s">
        <v>41</v>
      </c>
      <c r="B78" s="26">
        <f>VLOOKUP(A78,'Price Master List'!A:Q,15,FALSE)</f>
        <v>0.72</v>
      </c>
      <c r="C78" s="27" t="str">
        <f>VLOOKUP(A78,'Price Master List'!A:Q,16,FALSE)</f>
        <v>boxes</v>
      </c>
      <c r="D78" s="5" t="str">
        <f>VLOOKUP(A78,'Price Master List'!A:Q,17,FALSE)</f>
        <v>Costco</v>
      </c>
      <c r="E78" s="27">
        <f>IFERROR(VLOOKUP(A78,'Price Master List'!A:N,6,FALSE),0)</f>
        <v>1.86</v>
      </c>
      <c r="F78" s="27">
        <f>IFERROR(VLOOKUP(A78,'Price Master List'!A:N,10),0)</f>
        <v>0.72</v>
      </c>
      <c r="G78" s="27">
        <f>IFERROR(VLOOKUP(A78,'Price Master List'!A:N,14,FALSE),0)</f>
        <v>1.45</v>
      </c>
      <c r="H78" s="28">
        <f t="shared" si="15"/>
        <v>0.73</v>
      </c>
      <c r="I78" s="38">
        <v>0</v>
      </c>
      <c r="J78" s="3">
        <f t="shared" si="11"/>
        <v>0</v>
      </c>
      <c r="K78" s="4">
        <f t="shared" si="12"/>
        <v>0</v>
      </c>
      <c r="L78" s="3">
        <f t="shared" si="13"/>
        <v>0</v>
      </c>
      <c r="M78" s="4">
        <f t="shared" si="14"/>
        <v>0</v>
      </c>
    </row>
    <row r="79" spans="1:13" x14ac:dyDescent="0.35">
      <c r="A79" t="s">
        <v>171</v>
      </c>
      <c r="B79" s="26">
        <f>VLOOKUP(A79,'Price Master List'!A:Q,15,FALSE)</f>
        <v>1.28</v>
      </c>
      <c r="C79" s="27" t="str">
        <f>VLOOKUP(A79,'Price Master List'!A:Q,16,FALSE)</f>
        <v>pound</v>
      </c>
      <c r="D79" s="5" t="str">
        <f>VLOOKUP(A79,'Price Master List'!A:Q,17,FALSE)</f>
        <v>Costco</v>
      </c>
      <c r="E79" s="27">
        <f>IFERROR(VLOOKUP(A79,'Price Master List'!A:N,6,FALSE),0)</f>
        <v>1.3</v>
      </c>
      <c r="F79" s="27">
        <f>IFERROR(VLOOKUP(A79,'Price Master List'!A:N,10),0)</f>
        <v>1.28</v>
      </c>
      <c r="G79" s="27">
        <f>IFERROR(VLOOKUP(A79,'Price Master List'!A:N,14,FALSE),0)</f>
        <v>1.33</v>
      </c>
      <c r="H79" s="28">
        <f t="shared" si="15"/>
        <v>5.0000000000000044E-2</v>
      </c>
      <c r="I79" s="38">
        <v>0</v>
      </c>
      <c r="J79" s="3">
        <f t="shared" si="11"/>
        <v>0</v>
      </c>
      <c r="K79" s="4">
        <f t="shared" si="12"/>
        <v>0</v>
      </c>
      <c r="L79" s="3">
        <f t="shared" si="13"/>
        <v>0</v>
      </c>
      <c r="M79" s="4">
        <f t="shared" si="14"/>
        <v>0</v>
      </c>
    </row>
    <row r="80" spans="1:13" x14ac:dyDescent="0.35">
      <c r="A80" t="s">
        <v>170</v>
      </c>
      <c r="B80" s="26">
        <f>VLOOKUP(A80,'Price Master List'!A:Q,15,FALSE)</f>
        <v>0.05</v>
      </c>
      <c r="C80" s="27" t="str">
        <f>VLOOKUP(A80,'Price Master List'!A:Q,16,FALSE)</f>
        <v>ounces</v>
      </c>
      <c r="D80" s="5" t="str">
        <f>VLOOKUP(A80,'Price Master List'!A:Q,17,FALSE)</f>
        <v>Aldi</v>
      </c>
      <c r="E80" s="27">
        <f>IFERROR(VLOOKUP(A80,'Price Master List'!A:N,6,FALSE),0)</f>
        <v>7.0000000000000007E-2</v>
      </c>
      <c r="F80" s="27">
        <f>IFERROR(VLOOKUP(A80,'Price Master List'!A:N,10),0)</f>
        <v>0.2</v>
      </c>
      <c r="G80" s="27">
        <f>IFERROR(VLOOKUP(A80,'Price Master List'!A:N,14,FALSE),0)</f>
        <v>0.05</v>
      </c>
      <c r="H80" s="28">
        <f t="shared" si="15"/>
        <v>0</v>
      </c>
      <c r="I80" s="38">
        <v>0</v>
      </c>
      <c r="J80" s="3">
        <f t="shared" si="11"/>
        <v>0</v>
      </c>
      <c r="K80" s="4">
        <f t="shared" si="12"/>
        <v>0</v>
      </c>
      <c r="L80" s="3">
        <f t="shared" si="13"/>
        <v>0</v>
      </c>
      <c r="M80" s="4">
        <f t="shared" si="14"/>
        <v>0</v>
      </c>
    </row>
    <row r="81" spans="1:13" x14ac:dyDescent="0.35">
      <c r="A81" t="s">
        <v>107</v>
      </c>
      <c r="B81" s="26">
        <f>VLOOKUP(A81,'Price Master List'!A:Q,15,FALSE)</f>
        <v>2.98</v>
      </c>
      <c r="C81" s="27" t="str">
        <f>VLOOKUP(A81,'Price Master List'!A:Q,16,FALSE)</f>
        <v>gallon</v>
      </c>
      <c r="D81" s="5" t="str">
        <f>VLOOKUP(A81,'Price Master List'!A:Q,17,FALSE)</f>
        <v>Aldi</v>
      </c>
      <c r="E81" s="27">
        <f>IFERROR(VLOOKUP(A81,'Price Master List'!A:N,6,FALSE),0)</f>
        <v>3.22</v>
      </c>
      <c r="F81" s="27">
        <f>IFERROR(VLOOKUP(A81,'Price Master List'!A:N,10),0)</f>
        <v>3.22</v>
      </c>
      <c r="G81" s="27">
        <f>IFERROR(VLOOKUP(A81,'Price Master List'!A:N,14,FALSE),0)</f>
        <v>2.98</v>
      </c>
      <c r="H81" s="28">
        <f t="shared" si="15"/>
        <v>0</v>
      </c>
      <c r="I81" s="38">
        <v>0</v>
      </c>
      <c r="J81" s="3">
        <f t="shared" si="11"/>
        <v>0</v>
      </c>
      <c r="K81" s="4">
        <f t="shared" si="12"/>
        <v>0</v>
      </c>
      <c r="L81" s="3">
        <f t="shared" si="13"/>
        <v>0</v>
      </c>
      <c r="M81" s="4">
        <f t="shared" si="14"/>
        <v>0</v>
      </c>
    </row>
    <row r="82" spans="1:13" x14ac:dyDescent="0.35">
      <c r="A82" t="s">
        <v>109</v>
      </c>
      <c r="B82" s="26">
        <f>VLOOKUP(A82,'Price Master List'!A:Q,15,FALSE)</f>
        <v>2.79</v>
      </c>
      <c r="C82" s="27" t="str">
        <f>VLOOKUP(A82,'Price Master List'!A:Q,16,FALSE)</f>
        <v>gallon</v>
      </c>
      <c r="D82" s="5" t="str">
        <f>VLOOKUP(A82,'Price Master List'!A:Q,17,FALSE)</f>
        <v>Aldi</v>
      </c>
      <c r="E82" s="27">
        <f>IFERROR(VLOOKUP(A82,'Price Master List'!A:N,6,FALSE),0)</f>
        <v>2.92</v>
      </c>
      <c r="F82" s="27">
        <f>IFERROR(VLOOKUP(A82,'Price Master List'!A:N,10),0)</f>
        <v>2.92</v>
      </c>
      <c r="G82" s="27">
        <f>IFERROR(VLOOKUP(A82,'Price Master List'!A:N,14,FALSE),0)</f>
        <v>2.79</v>
      </c>
      <c r="H82" s="28">
        <f t="shared" si="15"/>
        <v>0</v>
      </c>
      <c r="I82" s="38">
        <v>0</v>
      </c>
      <c r="J82" s="3">
        <f t="shared" si="11"/>
        <v>0</v>
      </c>
      <c r="K82" s="4">
        <f t="shared" si="12"/>
        <v>0</v>
      </c>
      <c r="L82" s="3">
        <f t="shared" si="13"/>
        <v>0</v>
      </c>
      <c r="M82" s="4">
        <f t="shared" si="14"/>
        <v>0</v>
      </c>
    </row>
    <row r="83" spans="1:13" x14ac:dyDescent="0.35">
      <c r="A83" t="s">
        <v>108</v>
      </c>
      <c r="B83" s="26">
        <f>VLOOKUP(A83,'Price Master List'!A:Q,15,FALSE)</f>
        <v>2.99</v>
      </c>
      <c r="C83" s="27" t="str">
        <f>VLOOKUP(A83,'Price Master List'!A:Q,16,FALSE)</f>
        <v>gallon</v>
      </c>
      <c r="D83" s="5" t="str">
        <f>VLOOKUP(A83,'Price Master List'!A:Q,17,FALSE)</f>
        <v>Aldi</v>
      </c>
      <c r="E83" s="27">
        <f>IFERROR(VLOOKUP(A83,'Price Master List'!A:N,6,FALSE),0)</f>
        <v>3.47</v>
      </c>
      <c r="F83" s="27">
        <f>IFERROR(VLOOKUP(A83,'Price Master List'!A:N,10),0)</f>
        <v>3.47</v>
      </c>
      <c r="G83" s="27">
        <f>IFERROR(VLOOKUP(A83,'Price Master List'!A:N,14,FALSE),0)</f>
        <v>2.99</v>
      </c>
      <c r="H83" s="28">
        <f t="shared" si="15"/>
        <v>0</v>
      </c>
      <c r="I83" s="38">
        <v>0</v>
      </c>
      <c r="J83" s="3">
        <f t="shared" si="11"/>
        <v>0</v>
      </c>
      <c r="K83" s="4">
        <f t="shared" si="12"/>
        <v>0</v>
      </c>
      <c r="L83" s="3">
        <f t="shared" si="13"/>
        <v>0</v>
      </c>
      <c r="M83" s="4">
        <f t="shared" si="14"/>
        <v>0</v>
      </c>
    </row>
    <row r="84" spans="1:13" x14ac:dyDescent="0.35">
      <c r="A84" t="s">
        <v>30</v>
      </c>
      <c r="B84" s="26">
        <f>VLOOKUP(A84,'Price Master List'!A:Q,15,FALSE)</f>
        <v>0.08</v>
      </c>
      <c r="C84" s="27" t="str">
        <f>VLOOKUP(A84,'Price Master List'!A:Q,16,FALSE)</f>
        <v>ounces</v>
      </c>
      <c r="D84" s="5" t="str">
        <f>VLOOKUP(A84,'Price Master List'!A:Q,17,FALSE)</f>
        <v>Sam's Club</v>
      </c>
      <c r="E84" s="27">
        <f>IFERROR(VLOOKUP(A84,'Price Master List'!A:N,6,FALSE),0)</f>
        <v>0.08</v>
      </c>
      <c r="F84" s="27">
        <f>IFERROR(VLOOKUP(A84,'Price Master List'!A:N,10),0)</f>
        <v>0.1</v>
      </c>
      <c r="G84" s="27">
        <f>IFERROR(VLOOKUP(A84,'Price Master List'!A:N,14,FALSE),0)</f>
        <v>0.22</v>
      </c>
      <c r="H84" s="28">
        <f t="shared" si="15"/>
        <v>0.14000000000000001</v>
      </c>
      <c r="I84" s="38">
        <v>0</v>
      </c>
      <c r="J84" s="3">
        <f t="shared" si="11"/>
        <v>0</v>
      </c>
      <c r="K84" s="4">
        <f t="shared" si="12"/>
        <v>0</v>
      </c>
      <c r="L84" s="3">
        <f t="shared" si="13"/>
        <v>0</v>
      </c>
      <c r="M84" s="4">
        <f t="shared" si="14"/>
        <v>0</v>
      </c>
    </row>
    <row r="85" spans="1:13" x14ac:dyDescent="0.35">
      <c r="A85" t="s">
        <v>188</v>
      </c>
      <c r="B85" s="26">
        <f>VLOOKUP(A85,'Price Master List'!A:Q,15,FALSE)</f>
        <v>0.34</v>
      </c>
      <c r="C85" s="27" t="str">
        <f>VLOOKUP(A85,'Price Master List'!A:Q,16,FALSE)</f>
        <v>ounces</v>
      </c>
      <c r="D85" s="5" t="str">
        <f>VLOOKUP(A85,'Price Master List'!A:Q,17,FALSE)</f>
        <v>Aldi</v>
      </c>
      <c r="E85" s="27">
        <f>IFERROR(VLOOKUP(A85,'Price Master List'!A:N,6,FALSE),0)</f>
        <v>0.35</v>
      </c>
      <c r="F85" s="27">
        <f>IFERROR(VLOOKUP(A85,'Price Master List'!A:N,10),0)</f>
        <v>0.37</v>
      </c>
      <c r="G85" s="27">
        <f>IFERROR(VLOOKUP(A85,'Price Master List'!A:N,14,FALSE),0)</f>
        <v>0.34</v>
      </c>
      <c r="H85" s="28">
        <f t="shared" si="15"/>
        <v>0</v>
      </c>
      <c r="I85" s="38">
        <v>0</v>
      </c>
      <c r="J85" s="3">
        <f t="shared" si="11"/>
        <v>0</v>
      </c>
      <c r="K85" s="4">
        <f t="shared" si="12"/>
        <v>0</v>
      </c>
      <c r="L85" s="3">
        <f t="shared" si="13"/>
        <v>0</v>
      </c>
      <c r="M85" s="4">
        <f t="shared" si="14"/>
        <v>0</v>
      </c>
    </row>
    <row r="86" spans="1:13" x14ac:dyDescent="0.35">
      <c r="A86" t="s">
        <v>212</v>
      </c>
      <c r="B86" s="26">
        <f>VLOOKUP(A86,'Price Master List'!A:Q,15,FALSE)</f>
        <v>0.05</v>
      </c>
      <c r="C86" s="27" t="str">
        <f>VLOOKUP(A86,'Price Master List'!A:Q,16,FALSE)</f>
        <v>ounces</v>
      </c>
      <c r="D86" s="5" t="str">
        <f>VLOOKUP(A86,'Price Master List'!A:Q,17,FALSE)</f>
        <v>Costco</v>
      </c>
      <c r="E86" s="27">
        <f>IFERROR(VLOOKUP(A86,'Price Master List'!A:N,6,FALSE),0)</f>
        <v>0.05</v>
      </c>
      <c r="F86" s="27">
        <f>IFERROR(VLOOKUP(A86,'Price Master List'!A:N,10),0)</f>
        <v>0.05</v>
      </c>
      <c r="G86" s="27">
        <f>IFERROR(VLOOKUP(A86,'Price Master List'!A:N,14,FALSE),0)</f>
        <v>0.06</v>
      </c>
      <c r="H86" s="28">
        <f t="shared" si="15"/>
        <v>9.999999999999995E-3</v>
      </c>
      <c r="I86" s="38">
        <v>0</v>
      </c>
      <c r="J86" s="3">
        <f t="shared" si="11"/>
        <v>0</v>
      </c>
      <c r="K86" s="4">
        <f t="shared" si="12"/>
        <v>0</v>
      </c>
      <c r="L86" s="3">
        <f t="shared" si="13"/>
        <v>0</v>
      </c>
      <c r="M86" s="4">
        <f t="shared" si="14"/>
        <v>0</v>
      </c>
    </row>
    <row r="87" spans="1:13" x14ac:dyDescent="0.35">
      <c r="A87" t="s">
        <v>40</v>
      </c>
      <c r="B87" s="26">
        <f>VLOOKUP(A87,'Price Master List'!A:Q,15,FALSE)</f>
        <v>0.15</v>
      </c>
      <c r="C87" s="27" t="str">
        <f>VLOOKUP(A87,'Price Master List'!A:Q,16,FALSE)</f>
        <v>count</v>
      </c>
      <c r="D87" s="5" t="str">
        <f>VLOOKUP(A87,'Price Master List'!A:Q,17,FALSE)</f>
        <v>Aldi</v>
      </c>
      <c r="E87" s="27">
        <f>IFERROR(VLOOKUP(A87,'Price Master List'!A:N,6,FALSE),0)</f>
        <v>0.2</v>
      </c>
      <c r="F87" s="27">
        <f>IFERROR(VLOOKUP(A87,'Price Master List'!A:N,10),0)</f>
        <v>0.19</v>
      </c>
      <c r="G87" s="27">
        <f>IFERROR(VLOOKUP(A87,'Price Master List'!A:N,14,FALSE),0)</f>
        <v>0.15</v>
      </c>
      <c r="H87" s="28">
        <f t="shared" si="15"/>
        <v>0</v>
      </c>
      <c r="I87" s="38">
        <v>0</v>
      </c>
      <c r="J87" s="3">
        <f t="shared" si="11"/>
        <v>0</v>
      </c>
      <c r="K87" s="4">
        <f t="shared" si="12"/>
        <v>0</v>
      </c>
      <c r="L87" s="3">
        <f t="shared" si="13"/>
        <v>0</v>
      </c>
      <c r="M87" s="4">
        <f t="shared" si="14"/>
        <v>0</v>
      </c>
    </row>
    <row r="88" spans="1:13" x14ac:dyDescent="0.35">
      <c r="A88" t="s">
        <v>45</v>
      </c>
      <c r="B88" s="26">
        <f>VLOOKUP(A88,'Price Master List'!A:Q,15,FALSE)</f>
        <v>3.99</v>
      </c>
      <c r="C88" s="27" t="str">
        <f>VLOOKUP(A88,'Price Master List'!A:Q,16,FALSE)</f>
        <v>liter</v>
      </c>
      <c r="D88" s="5" t="str">
        <f>VLOOKUP(A88,'Price Master List'!A:Q,17,FALSE)</f>
        <v>Sam's Club</v>
      </c>
      <c r="E88" s="27">
        <f>IFERROR(VLOOKUP(A88,'Price Master List'!A:N,6,FALSE),0)</f>
        <v>3.99</v>
      </c>
      <c r="F88" s="27">
        <f>IFERROR(VLOOKUP(A88,'Price Master List'!A:N,10),0)</f>
        <v>4.33</v>
      </c>
      <c r="G88" s="27">
        <f>IFERROR(VLOOKUP(A88,'Price Master List'!A:N,14,FALSE),0)</f>
        <v>5.01</v>
      </c>
      <c r="H88" s="28">
        <f t="shared" si="15"/>
        <v>1.0199999999999996</v>
      </c>
      <c r="I88" s="38">
        <v>0</v>
      </c>
      <c r="J88" s="3">
        <f t="shared" si="11"/>
        <v>0</v>
      </c>
      <c r="K88" s="4">
        <f t="shared" si="12"/>
        <v>0</v>
      </c>
      <c r="L88" s="3">
        <f t="shared" si="13"/>
        <v>0</v>
      </c>
      <c r="M88" s="4">
        <f t="shared" si="14"/>
        <v>0</v>
      </c>
    </row>
    <row r="89" spans="1:13" x14ac:dyDescent="0.35">
      <c r="A89" t="s">
        <v>78</v>
      </c>
      <c r="B89" s="26">
        <f>VLOOKUP(A89,'Price Master List'!A:Q,15,FALSE)</f>
        <v>0.99</v>
      </c>
      <c r="C89" s="27" t="str">
        <f>VLOOKUP(A89,'Price Master List'!A:Q,16,FALSE)</f>
        <v>pound</v>
      </c>
      <c r="D89" s="5" t="str">
        <f>VLOOKUP(A89,'Price Master List'!A:Q,17,FALSE)</f>
        <v>Sam's Club</v>
      </c>
      <c r="E89" s="27">
        <f>IFERROR(VLOOKUP(A89,'Price Master List'!A:N,6,FALSE),0)</f>
        <v>0.99</v>
      </c>
      <c r="F89" s="27">
        <f>IFERROR(VLOOKUP(A89,'Price Master List'!A:N,10),0)</f>
        <v>1.1100000000000001</v>
      </c>
      <c r="G89" s="27">
        <f>IFERROR(VLOOKUP(A89,'Price Master List'!A:N,14,FALSE),0)</f>
        <v>1.1000000000000001</v>
      </c>
      <c r="H89" s="28">
        <f t="shared" si="15"/>
        <v>0.1100000000000001</v>
      </c>
      <c r="I89" s="38">
        <v>0</v>
      </c>
      <c r="J89" s="3">
        <f t="shared" si="11"/>
        <v>0</v>
      </c>
      <c r="K89" s="4">
        <f t="shared" si="12"/>
        <v>0</v>
      </c>
      <c r="L89" s="3">
        <f t="shared" si="13"/>
        <v>0</v>
      </c>
      <c r="M89" s="4">
        <f t="shared" si="14"/>
        <v>0</v>
      </c>
    </row>
    <row r="90" spans="1:13" x14ac:dyDescent="0.35">
      <c r="A90" t="s">
        <v>156</v>
      </c>
      <c r="B90" s="26">
        <f>VLOOKUP(A90,'Price Master List'!A:Q,15,FALSE)</f>
        <v>0.04</v>
      </c>
      <c r="C90" s="27" t="str">
        <f>VLOOKUP(A90,'Price Master List'!A:Q,16,FALSE)</f>
        <v>ounces</v>
      </c>
      <c r="D90" s="5" t="str">
        <f>VLOOKUP(A90,'Price Master List'!A:Q,17,FALSE)</f>
        <v>Costco</v>
      </c>
      <c r="E90" s="27">
        <f>IFERROR(VLOOKUP(A90,'Price Master List'!A:N,6,FALSE),0)</f>
        <v>0.04</v>
      </c>
      <c r="F90" s="27">
        <f>IFERROR(VLOOKUP(A90,'Price Master List'!A:N,10),0)</f>
        <v>0.04</v>
      </c>
      <c r="G90" s="27">
        <f>IFERROR(VLOOKUP(A90,'Price Master List'!A:N,14,FALSE),0)</f>
        <v>0.06</v>
      </c>
      <c r="H90" s="28">
        <f t="shared" si="15"/>
        <v>1.9999999999999997E-2</v>
      </c>
      <c r="I90" s="38">
        <v>0</v>
      </c>
      <c r="J90" s="3">
        <f t="shared" si="11"/>
        <v>0</v>
      </c>
      <c r="K90" s="4">
        <f t="shared" si="12"/>
        <v>0</v>
      </c>
      <c r="L90" s="3">
        <f t="shared" si="13"/>
        <v>0</v>
      </c>
      <c r="M90" s="4">
        <f t="shared" si="14"/>
        <v>0</v>
      </c>
    </row>
    <row r="91" spans="1:13" x14ac:dyDescent="0.35">
      <c r="A91" t="s">
        <v>198</v>
      </c>
      <c r="B91" s="26">
        <f>VLOOKUP(A91,'Price Master List'!A:Q,15,FALSE)</f>
        <v>0.01</v>
      </c>
      <c r="C91" s="27" t="str">
        <f>VLOOKUP(A91,'Price Master List'!A:Q,16,FALSE)</f>
        <v>sheet</v>
      </c>
      <c r="D91" s="5" t="str">
        <f>VLOOKUP(A91,'Price Master List'!A:Q,17,FALSE)</f>
        <v>Aldi</v>
      </c>
      <c r="E91" s="27">
        <f>IFERROR(VLOOKUP(A91,'Price Master List'!A:N,6,FALSE),0)</f>
        <v>0.01</v>
      </c>
      <c r="F91" s="27">
        <f>IFERROR(VLOOKUP(A91,'Price Master List'!A:N,10),0)</f>
        <v>0</v>
      </c>
      <c r="G91" s="27">
        <f>IFERROR(VLOOKUP(A91,'Price Master List'!A:N,14,FALSE),0)</f>
        <v>0.01</v>
      </c>
      <c r="H91" s="28">
        <f t="shared" si="15"/>
        <v>0</v>
      </c>
      <c r="I91" s="38">
        <v>0</v>
      </c>
      <c r="J91" s="3">
        <f t="shared" si="11"/>
        <v>0</v>
      </c>
      <c r="K91" s="4">
        <f t="shared" si="12"/>
        <v>0</v>
      </c>
      <c r="L91" s="3">
        <f t="shared" si="13"/>
        <v>0</v>
      </c>
      <c r="M91" s="4">
        <f t="shared" si="14"/>
        <v>0</v>
      </c>
    </row>
    <row r="92" spans="1:13" x14ac:dyDescent="0.35">
      <c r="A92" t="s">
        <v>210</v>
      </c>
      <c r="B92" s="26">
        <f>VLOOKUP(A92,'Price Master List'!A:Q,15,FALSE)</f>
        <v>0.1</v>
      </c>
      <c r="C92" s="27" t="str">
        <f>VLOOKUP(A92,'Price Master List'!A:Q,16,FALSE)</f>
        <v>ounces</v>
      </c>
      <c r="D92" s="5" t="str">
        <f>VLOOKUP(A92,'Price Master List'!A:Q,17,FALSE)</f>
        <v>Costco</v>
      </c>
      <c r="E92" s="27">
        <f>IFERROR(VLOOKUP(A92,'Price Master List'!A:N,6,FALSE),0)</f>
        <v>0.1</v>
      </c>
      <c r="F92" s="27">
        <f>IFERROR(VLOOKUP(A92,'Price Master List'!A:N,10),0)</f>
        <v>0.1</v>
      </c>
      <c r="G92" s="27">
        <f>IFERROR(VLOOKUP(A92,'Price Master List'!A:N,14,FALSE),0)</f>
        <v>0.14000000000000001</v>
      </c>
      <c r="H92" s="28">
        <f t="shared" si="15"/>
        <v>4.0000000000000008E-2</v>
      </c>
      <c r="I92" s="38">
        <v>0</v>
      </c>
      <c r="J92" s="3">
        <f t="shared" si="11"/>
        <v>0</v>
      </c>
      <c r="K92" s="4">
        <f t="shared" si="12"/>
        <v>0</v>
      </c>
      <c r="L92" s="3">
        <f t="shared" si="13"/>
        <v>0</v>
      </c>
      <c r="M92" s="4">
        <f t="shared" si="14"/>
        <v>0</v>
      </c>
    </row>
    <row r="93" spans="1:13" x14ac:dyDescent="0.35">
      <c r="A93" t="s">
        <v>204</v>
      </c>
      <c r="B93" s="26">
        <f>VLOOKUP(A93,'Price Master List'!A:Q,15,FALSE)</f>
        <v>0.11</v>
      </c>
      <c r="C93" s="27" t="str">
        <f>VLOOKUP(A93,'Price Master List'!A:Q,16,FALSE)</f>
        <v>ounces</v>
      </c>
      <c r="D93" s="5" t="str">
        <f>VLOOKUP(A93,'Price Master List'!A:Q,17,FALSE)</f>
        <v>Sam's Club</v>
      </c>
      <c r="E93" s="27">
        <f>IFERROR(VLOOKUP(A93,'Price Master List'!A:N,6,FALSE),0)</f>
        <v>0.11</v>
      </c>
      <c r="F93" s="27">
        <f>IFERROR(VLOOKUP(A93,'Price Master List'!A:N,10),0)</f>
        <v>0</v>
      </c>
      <c r="G93" s="27">
        <f>IFERROR(VLOOKUP(A93,'Price Master List'!A:N,14,FALSE),0)</f>
        <v>0.12</v>
      </c>
      <c r="H93" s="28">
        <f t="shared" si="15"/>
        <v>9.999999999999995E-3</v>
      </c>
      <c r="I93" s="38">
        <v>0</v>
      </c>
      <c r="J93" s="3">
        <f t="shared" si="11"/>
        <v>0</v>
      </c>
      <c r="K93" s="4">
        <f t="shared" si="12"/>
        <v>0</v>
      </c>
      <c r="L93" s="3">
        <f t="shared" si="13"/>
        <v>0</v>
      </c>
      <c r="M93" s="4">
        <f t="shared" si="14"/>
        <v>0</v>
      </c>
    </row>
    <row r="94" spans="1:13" x14ac:dyDescent="0.35">
      <c r="A94" t="s">
        <v>152</v>
      </c>
      <c r="B94" s="26">
        <f>VLOOKUP(A94,'Price Master List'!A:Q,15,FALSE)</f>
        <v>0.37</v>
      </c>
      <c r="C94" s="27" t="str">
        <f>VLOOKUP(A94,'Price Master List'!A:Q,16,FALSE)</f>
        <v>ounces</v>
      </c>
      <c r="D94" s="5" t="str">
        <f>VLOOKUP(A94,'Price Master List'!A:Q,17,FALSE)</f>
        <v>Sam's Club</v>
      </c>
      <c r="E94" s="27">
        <f>IFERROR(VLOOKUP(A94,'Price Master List'!A:N,6,FALSE),0)</f>
        <v>0.37</v>
      </c>
      <c r="F94" s="27">
        <f>IFERROR(VLOOKUP(A94,'Price Master List'!A:N,10),0)</f>
        <v>0.4</v>
      </c>
      <c r="G94" s="27">
        <f>IFERROR(VLOOKUP(A94,'Price Master List'!A:N,14,FALSE),0)</f>
        <v>0.51</v>
      </c>
      <c r="H94" s="28">
        <f t="shared" si="15"/>
        <v>0.14000000000000001</v>
      </c>
      <c r="I94" s="38">
        <v>0</v>
      </c>
      <c r="J94" s="3">
        <f t="shared" si="11"/>
        <v>0</v>
      </c>
      <c r="K94" s="4">
        <f t="shared" si="12"/>
        <v>0</v>
      </c>
      <c r="L94" s="3">
        <f t="shared" si="13"/>
        <v>0</v>
      </c>
      <c r="M94" s="4">
        <f t="shared" si="14"/>
        <v>0</v>
      </c>
    </row>
    <row r="95" spans="1:13" x14ac:dyDescent="0.35">
      <c r="A95" t="s">
        <v>136</v>
      </c>
      <c r="B95" s="26">
        <f>VLOOKUP(A95,'Price Master List'!A:Q,15,FALSE)</f>
        <v>2.39</v>
      </c>
      <c r="C95" s="27" t="str">
        <f>VLOOKUP(A95,'Price Master List'!A:Q,16,FALSE)</f>
        <v>count</v>
      </c>
      <c r="D95" s="5" t="str">
        <f>VLOOKUP(A95,'Price Master List'!A:Q,17,FALSE)</f>
        <v>Aldi</v>
      </c>
      <c r="E95" s="27">
        <f>IFERROR(VLOOKUP(A95,'Price Master List'!A:N,6,FALSE),0)</f>
        <v>2.42</v>
      </c>
      <c r="F95" s="27">
        <f>IFERROR(VLOOKUP(A95,'Price Master List'!A:N,10),0)</f>
        <v>3.37</v>
      </c>
      <c r="G95" s="27">
        <f>IFERROR(VLOOKUP(A95,'Price Master List'!A:N,14,FALSE),0)</f>
        <v>2.39</v>
      </c>
      <c r="H95" s="28">
        <f t="shared" si="15"/>
        <v>0</v>
      </c>
      <c r="I95" s="38">
        <v>0</v>
      </c>
      <c r="J95" s="3">
        <f t="shared" si="11"/>
        <v>0</v>
      </c>
      <c r="K95" s="4">
        <f t="shared" si="12"/>
        <v>0</v>
      </c>
      <c r="L95" s="3">
        <f t="shared" si="13"/>
        <v>0</v>
      </c>
      <c r="M95" s="4">
        <f t="shared" si="14"/>
        <v>0</v>
      </c>
    </row>
    <row r="96" spans="1:13" x14ac:dyDescent="0.35">
      <c r="A96" t="s">
        <v>101</v>
      </c>
      <c r="B96" s="26">
        <f>VLOOKUP(A96,'Price Master List'!A:Q,15,FALSE)</f>
        <v>0.32</v>
      </c>
      <c r="C96" s="27" t="str">
        <f>VLOOKUP(A96,'Price Master List'!A:Q,16,FALSE)</f>
        <v>ounces</v>
      </c>
      <c r="D96" s="5" t="str">
        <f>VLOOKUP(A96,'Price Master List'!A:Q,17,FALSE)</f>
        <v>Sam's Club</v>
      </c>
      <c r="E96" s="27">
        <f>IFERROR(VLOOKUP(A96,'Price Master List'!A:N,6,FALSE),0)</f>
        <v>0.32</v>
      </c>
      <c r="F96" s="27">
        <f>IFERROR(VLOOKUP(A96,'Price Master List'!A:N,10),0)</f>
        <v>0.43</v>
      </c>
      <c r="G96" s="27">
        <f>IFERROR(VLOOKUP(A96,'Price Master List'!A:N,14,FALSE),0)</f>
        <v>0.34</v>
      </c>
      <c r="H96" s="28">
        <f t="shared" si="15"/>
        <v>2.0000000000000018E-2</v>
      </c>
      <c r="I96" s="38">
        <v>0</v>
      </c>
      <c r="J96" s="3">
        <f t="shared" si="11"/>
        <v>0</v>
      </c>
      <c r="K96" s="4">
        <f t="shared" si="12"/>
        <v>0</v>
      </c>
      <c r="L96" s="3">
        <f t="shared" si="13"/>
        <v>0</v>
      </c>
      <c r="M96" s="4">
        <f t="shared" si="14"/>
        <v>0</v>
      </c>
    </row>
    <row r="97" spans="1:13" x14ac:dyDescent="0.35">
      <c r="A97" t="s">
        <v>9</v>
      </c>
      <c r="B97" s="26">
        <f>VLOOKUP(A97,'Price Master List'!A:Q,15,FALSE)</f>
        <v>2.48</v>
      </c>
      <c r="C97" s="27" t="str">
        <f>VLOOKUP(A97,'Price Master List'!A:Q,16,FALSE)</f>
        <v>pound</v>
      </c>
      <c r="D97" s="5" t="str">
        <f>VLOOKUP(A97,'Price Master List'!A:Q,17,FALSE)</f>
        <v>Sam's Club</v>
      </c>
      <c r="E97" s="27">
        <f>IFERROR(VLOOKUP(A97,'Price Master List'!A:N,6,FALSE),0)</f>
        <v>2.48</v>
      </c>
      <c r="F97" s="27">
        <f>IFERROR(VLOOKUP(A97,'Price Master List'!A:N,10),0)</f>
        <v>0</v>
      </c>
      <c r="G97" s="27">
        <f>IFERROR(VLOOKUP(A97,'Price Master List'!A:N,14,FALSE),0)</f>
        <v>2.99</v>
      </c>
      <c r="H97" s="28">
        <f t="shared" si="15"/>
        <v>0.51000000000000023</v>
      </c>
      <c r="I97" s="38">
        <v>0</v>
      </c>
      <c r="J97" s="3">
        <f t="shared" si="11"/>
        <v>0</v>
      </c>
      <c r="K97" s="4">
        <f t="shared" si="12"/>
        <v>0</v>
      </c>
      <c r="L97" s="3">
        <f t="shared" si="13"/>
        <v>0</v>
      </c>
      <c r="M97" s="4">
        <f t="shared" si="14"/>
        <v>0</v>
      </c>
    </row>
    <row r="98" spans="1:13" x14ac:dyDescent="0.35">
      <c r="A98" t="s">
        <v>202</v>
      </c>
      <c r="B98" s="26">
        <f>VLOOKUP(A98,'Price Master List'!A:Q,15,FALSE)</f>
        <v>1.98</v>
      </c>
      <c r="C98" s="27" t="str">
        <f>VLOOKUP(A98,'Price Master List'!A:Q,16,FALSE)</f>
        <v>pound</v>
      </c>
      <c r="D98" s="5" t="str">
        <f>VLOOKUP(A98,'Price Master List'!A:Q,17,FALSE)</f>
        <v>Sam's Club</v>
      </c>
      <c r="E98" s="27">
        <f>IFERROR(VLOOKUP(A98,'Price Master List'!A:N,6,FALSE),0)</f>
        <v>1.98</v>
      </c>
      <c r="F98" s="27">
        <f>IFERROR(VLOOKUP(A98,'Price Master List'!A:N,10),0)</f>
        <v>0</v>
      </c>
      <c r="G98" s="27">
        <f>IFERROR(VLOOKUP(A98,'Price Master List'!A:N,14,FALSE),0)</f>
        <v>3.29</v>
      </c>
      <c r="H98" s="28">
        <f t="shared" si="15"/>
        <v>1.31</v>
      </c>
      <c r="I98" s="38">
        <v>0</v>
      </c>
      <c r="J98" s="3">
        <f t="shared" si="11"/>
        <v>0</v>
      </c>
      <c r="K98" s="4">
        <f t="shared" si="12"/>
        <v>0</v>
      </c>
      <c r="L98" s="3">
        <f t="shared" si="13"/>
        <v>0</v>
      </c>
      <c r="M98" s="4">
        <f t="shared" si="14"/>
        <v>0</v>
      </c>
    </row>
    <row r="99" spans="1:13" x14ac:dyDescent="0.35">
      <c r="A99" t="s">
        <v>97</v>
      </c>
      <c r="B99" s="26">
        <f>VLOOKUP(A99,'Price Master List'!A:Q,15,FALSE)</f>
        <v>2.08</v>
      </c>
      <c r="C99" s="27" t="str">
        <f>VLOOKUP(A99,'Price Master List'!A:Q,16,FALSE)</f>
        <v>pound</v>
      </c>
      <c r="D99" s="5" t="str">
        <f>VLOOKUP(A99,'Price Master List'!A:Q,17,FALSE)</f>
        <v>Sam's Club</v>
      </c>
      <c r="E99" s="27">
        <f>IFERROR(VLOOKUP(A99,'Price Master List'!A:N,6,FALSE),0)</f>
        <v>2.08</v>
      </c>
      <c r="F99" s="27">
        <f>IFERROR(VLOOKUP(A99,'Price Master List'!A:N,10),0)</f>
        <v>2.09</v>
      </c>
      <c r="G99" s="27">
        <f>IFERROR(VLOOKUP(A99,'Price Master List'!A:N,14,FALSE),0)</f>
        <v>2.39</v>
      </c>
      <c r="H99" s="28">
        <f t="shared" si="15"/>
        <v>0.31000000000000005</v>
      </c>
      <c r="I99" s="38">
        <v>0</v>
      </c>
      <c r="J99" s="3">
        <f t="shared" ref="J99:J130" si="16">IF(D99="Sam's Club",H99*I99*12,0)</f>
        <v>0</v>
      </c>
      <c r="K99" s="4">
        <f t="shared" ref="K99:K130" si="17">IF(D99="Costco",H99*I99*12,0)</f>
        <v>0</v>
      </c>
      <c r="L99" s="3">
        <f t="shared" ref="L99:L130" si="18">IF(E99&gt;0,IF(G99&gt;0,IF(G99&gt;E99,(G99-E99)*I99*12,0),0),0)</f>
        <v>0</v>
      </c>
      <c r="M99" s="4">
        <f t="shared" ref="M99:M130" si="19">IF(F99&gt;0,IF(G99&gt;0,IF(G99&gt;F99,(G99-F99)*I99*12,0),0),0)</f>
        <v>0</v>
      </c>
    </row>
    <row r="100" spans="1:13" x14ac:dyDescent="0.35">
      <c r="A100" t="s">
        <v>99</v>
      </c>
      <c r="B100" s="26">
        <f>VLOOKUP(A100,'Price Master List'!A:Q,15,FALSE)</f>
        <v>2.35</v>
      </c>
      <c r="C100" s="27" t="str">
        <f>VLOOKUP(A100,'Price Master List'!A:Q,16,FALSE)</f>
        <v>pound</v>
      </c>
      <c r="D100" s="5" t="str">
        <f>VLOOKUP(A100,'Price Master List'!A:Q,17,FALSE)</f>
        <v>Aldi</v>
      </c>
      <c r="E100" s="27">
        <f>IFERROR(VLOOKUP(A100,'Price Master List'!A:N,6,FALSE),0)</f>
        <v>2.41</v>
      </c>
      <c r="F100" s="27">
        <f>IFERROR(VLOOKUP(A100,'Price Master List'!A:N,10),0)</f>
        <v>3</v>
      </c>
      <c r="G100" s="27">
        <f>IFERROR(VLOOKUP(A100,'Price Master List'!A:N,14,FALSE),0)</f>
        <v>2.35</v>
      </c>
      <c r="H100" s="28">
        <f t="shared" si="15"/>
        <v>0</v>
      </c>
      <c r="I100" s="38">
        <v>0</v>
      </c>
      <c r="J100" s="3">
        <f t="shared" si="16"/>
        <v>0</v>
      </c>
      <c r="K100" s="4">
        <f t="shared" si="17"/>
        <v>0</v>
      </c>
      <c r="L100" s="3">
        <f t="shared" si="18"/>
        <v>0</v>
      </c>
      <c r="M100" s="4">
        <f t="shared" si="19"/>
        <v>0</v>
      </c>
    </row>
    <row r="101" spans="1:13" x14ac:dyDescent="0.35">
      <c r="A101" t="s">
        <v>158</v>
      </c>
      <c r="B101" s="26">
        <f>VLOOKUP(A101,'Price Master List'!A:Q,15,FALSE)</f>
        <v>0.66</v>
      </c>
      <c r="C101" s="27" t="str">
        <f>VLOOKUP(A101,'Price Master List'!A:Q,16,FALSE)</f>
        <v>pound</v>
      </c>
      <c r="D101" s="5" t="str">
        <f>VLOOKUP(A101,'Price Master List'!A:Q,17,FALSE)</f>
        <v>Costco</v>
      </c>
      <c r="E101" s="27">
        <f>IFERROR(VLOOKUP(A101,'Price Master List'!A:N,6,FALSE),0)</f>
        <v>0.77</v>
      </c>
      <c r="F101" s="27">
        <f>IFERROR(VLOOKUP(A101,'Price Master List'!A:N,10),0)</f>
        <v>0.66</v>
      </c>
      <c r="G101" s="27">
        <f>IFERROR(VLOOKUP(A101,'Price Master List'!A:N,14,FALSE),0)</f>
        <v>1.85</v>
      </c>
      <c r="H101" s="28">
        <f t="shared" si="15"/>
        <v>1.19</v>
      </c>
      <c r="I101" s="38">
        <v>0</v>
      </c>
      <c r="J101" s="3">
        <f t="shared" si="16"/>
        <v>0</v>
      </c>
      <c r="K101" s="4">
        <f t="shared" si="17"/>
        <v>0</v>
      </c>
      <c r="L101" s="3">
        <f t="shared" si="18"/>
        <v>0</v>
      </c>
      <c r="M101" s="4">
        <f t="shared" si="19"/>
        <v>0</v>
      </c>
    </row>
    <row r="102" spans="1:13" x14ac:dyDescent="0.35">
      <c r="A102" t="s">
        <v>185</v>
      </c>
      <c r="B102" s="26">
        <f>VLOOKUP(A102,'Price Master List'!A:Q,15,FALSE)</f>
        <v>0.14000000000000001</v>
      </c>
      <c r="C102" s="27" t="str">
        <f>VLOOKUP(A102,'Price Master List'!A:Q,16,FALSE)</f>
        <v>ounces</v>
      </c>
      <c r="D102" s="5" t="str">
        <f>VLOOKUP(A102,'Price Master List'!A:Q,17,FALSE)</f>
        <v>Aldi</v>
      </c>
      <c r="E102" s="27">
        <f>IFERROR(VLOOKUP(A102,'Price Master List'!A:N,6,FALSE),0)</f>
        <v>0.14000000000000001</v>
      </c>
      <c r="F102" s="27">
        <f>IFERROR(VLOOKUP(A102,'Price Master List'!A:N,10),0)</f>
        <v>0.17</v>
      </c>
      <c r="G102" s="27">
        <f>IFERROR(VLOOKUP(A102,'Price Master List'!A:N,14,FALSE),0)</f>
        <v>0.14000000000000001</v>
      </c>
      <c r="H102" s="28">
        <f t="shared" si="15"/>
        <v>0</v>
      </c>
      <c r="I102" s="38">
        <v>0</v>
      </c>
      <c r="J102" s="3">
        <f t="shared" si="16"/>
        <v>0</v>
      </c>
      <c r="K102" s="4">
        <f t="shared" si="17"/>
        <v>0</v>
      </c>
      <c r="L102" s="3">
        <f t="shared" si="18"/>
        <v>0</v>
      </c>
      <c r="M102" s="4">
        <f t="shared" si="19"/>
        <v>0</v>
      </c>
    </row>
    <row r="103" spans="1:13" x14ac:dyDescent="0.35">
      <c r="A103" t="s">
        <v>183</v>
      </c>
      <c r="B103" s="26">
        <f>VLOOKUP(A103,'Price Master List'!A:Q,15,FALSE)</f>
        <v>0.13</v>
      </c>
      <c r="C103" s="27" t="str">
        <f>VLOOKUP(A103,'Price Master List'!A:Q,16,FALSE)</f>
        <v>ounces</v>
      </c>
      <c r="D103" s="5" t="str">
        <f>VLOOKUP(A103,'Price Master List'!A:Q,17,FALSE)</f>
        <v>Costco</v>
      </c>
      <c r="E103" s="27">
        <f>IFERROR(VLOOKUP(A103,'Price Master List'!A:N,6,FALSE),0)</f>
        <v>0.14000000000000001</v>
      </c>
      <c r="F103" s="27">
        <f>IFERROR(VLOOKUP(A103,'Price Master List'!A:N,10),0)</f>
        <v>0.13</v>
      </c>
      <c r="G103" s="27">
        <f>IFERROR(VLOOKUP(A103,'Price Master List'!A:N,14,FALSE),0)</f>
        <v>0.15</v>
      </c>
      <c r="H103" s="28">
        <f t="shared" si="15"/>
        <v>1.999999999999999E-2</v>
      </c>
      <c r="I103" s="38">
        <v>0</v>
      </c>
      <c r="J103" s="3">
        <f t="shared" si="16"/>
        <v>0</v>
      </c>
      <c r="K103" s="4">
        <f t="shared" si="17"/>
        <v>0</v>
      </c>
      <c r="L103" s="3">
        <f t="shared" si="18"/>
        <v>0</v>
      </c>
      <c r="M103" s="4">
        <f t="shared" si="19"/>
        <v>0</v>
      </c>
    </row>
    <row r="104" spans="1:13" x14ac:dyDescent="0.35">
      <c r="A104" t="s">
        <v>20</v>
      </c>
      <c r="B104" s="26">
        <f>VLOOKUP(A104,'Price Master List'!A:Q,15,FALSE)</f>
        <v>0.71</v>
      </c>
      <c r="C104" s="27" t="str">
        <f>VLOOKUP(A104,'Price Master List'!A:Q,16,FALSE)</f>
        <v>count</v>
      </c>
      <c r="D104" s="5" t="str">
        <f>VLOOKUP(A104,'Price Master List'!A:Q,17,FALSE)</f>
        <v>Sam's Club</v>
      </c>
      <c r="E104" s="27">
        <f>IFERROR(VLOOKUP(A104,'Price Master List'!A:N,6,FALSE),0)</f>
        <v>0.71</v>
      </c>
      <c r="F104" s="27">
        <f>IFERROR(VLOOKUP(A104,'Price Master List'!A:N,10),0)</f>
        <v>1</v>
      </c>
      <c r="G104" s="27">
        <f>IFERROR(VLOOKUP(A104,'Price Master List'!A:N,14,FALSE),0)</f>
        <v>0.96</v>
      </c>
      <c r="H104" s="28">
        <f t="shared" si="15"/>
        <v>0.25</v>
      </c>
      <c r="I104" s="38">
        <v>0</v>
      </c>
      <c r="J104" s="3">
        <f t="shared" si="16"/>
        <v>0</v>
      </c>
      <c r="K104" s="4">
        <f t="shared" si="17"/>
        <v>0</v>
      </c>
      <c r="L104" s="3">
        <f t="shared" si="18"/>
        <v>0</v>
      </c>
      <c r="M104" s="4">
        <f t="shared" si="19"/>
        <v>0</v>
      </c>
    </row>
    <row r="105" spans="1:13" x14ac:dyDescent="0.35">
      <c r="A105" t="s">
        <v>100</v>
      </c>
      <c r="B105" s="26">
        <f>VLOOKUP(A105,'Price Master List'!A:Q,15,FALSE)</f>
        <v>4.9800000000000004</v>
      </c>
      <c r="C105" s="27" t="str">
        <f>VLOOKUP(A105,'Price Master List'!A:Q,16,FALSE)</f>
        <v>count</v>
      </c>
      <c r="D105" s="5" t="str">
        <f>VLOOKUP(A105,'Price Master List'!A:Q,17,FALSE)</f>
        <v>Sam's Club</v>
      </c>
      <c r="E105" s="27">
        <f>IFERROR(VLOOKUP(A105,'Price Master List'!A:N,6,FALSE),0)</f>
        <v>4.9800000000000004</v>
      </c>
      <c r="F105" s="27">
        <f>IFERROR(VLOOKUP(A105,'Price Master List'!A:N,10),0)</f>
        <v>4.99</v>
      </c>
      <c r="G105" s="27">
        <f>IFERROR(VLOOKUP(A105,'Price Master List'!A:N,14,FALSE),0)</f>
        <v>0</v>
      </c>
      <c r="H105" s="28">
        <f t="shared" si="15"/>
        <v>0</v>
      </c>
      <c r="I105" s="38">
        <v>0</v>
      </c>
      <c r="J105" s="3">
        <f t="shared" si="16"/>
        <v>0</v>
      </c>
      <c r="K105" s="4">
        <f t="shared" si="17"/>
        <v>0</v>
      </c>
      <c r="L105" s="3">
        <f t="shared" si="18"/>
        <v>0</v>
      </c>
      <c r="M105" s="4">
        <f t="shared" si="19"/>
        <v>0</v>
      </c>
    </row>
    <row r="106" spans="1:13" x14ac:dyDescent="0.35">
      <c r="A106" t="s">
        <v>166</v>
      </c>
      <c r="B106" s="26">
        <f>VLOOKUP(A106,'Price Master List'!A:Q,15,FALSE)</f>
        <v>0.05</v>
      </c>
      <c r="C106" s="27" t="str">
        <f>VLOOKUP(A106,'Price Master List'!A:Q,16,FALSE)</f>
        <v>ounces</v>
      </c>
      <c r="D106" s="5" t="str">
        <f>VLOOKUP(A106,'Price Master List'!A:Q,17,FALSE)</f>
        <v>Aldi</v>
      </c>
      <c r="E106" s="27">
        <f>IFERROR(VLOOKUP(A106,'Price Master List'!A:N,6,FALSE),0)</f>
        <v>0.08</v>
      </c>
      <c r="F106" s="27">
        <f>IFERROR(VLOOKUP(A106,'Price Master List'!A:N,10),0)</f>
        <v>0.1</v>
      </c>
      <c r="G106" s="27">
        <f>IFERROR(VLOOKUP(A106,'Price Master List'!A:N,14,FALSE),0)</f>
        <v>0.05</v>
      </c>
      <c r="H106" s="28">
        <f t="shared" si="15"/>
        <v>0</v>
      </c>
      <c r="I106" s="38">
        <v>0</v>
      </c>
      <c r="J106" s="3">
        <f t="shared" si="16"/>
        <v>0</v>
      </c>
      <c r="K106" s="4">
        <f t="shared" si="17"/>
        <v>0</v>
      </c>
      <c r="L106" s="3">
        <f t="shared" si="18"/>
        <v>0</v>
      </c>
      <c r="M106" s="4">
        <f t="shared" si="19"/>
        <v>0</v>
      </c>
    </row>
    <row r="107" spans="1:13" x14ac:dyDescent="0.35">
      <c r="A107" t="s">
        <v>10</v>
      </c>
      <c r="B107" s="26">
        <f>VLOOKUP(A107,'Price Master List'!A:Q,15,FALSE)</f>
        <v>2.52</v>
      </c>
      <c r="C107" s="27" t="str">
        <f>VLOOKUP(A107,'Price Master List'!A:Q,16,FALSE)</f>
        <v>pounds</v>
      </c>
      <c r="D107" s="5" t="str">
        <f>VLOOKUP(A107,'Price Master List'!A:Q,17,FALSE)</f>
        <v>Costco</v>
      </c>
      <c r="E107" s="27">
        <f>IFERROR(VLOOKUP(A107,'Price Master List'!A:N,6,FALSE),0)</f>
        <v>2.5299999999999998</v>
      </c>
      <c r="F107" s="27">
        <f>IFERROR(VLOOKUP(A107,'Price Master List'!A:N,10),0)</f>
        <v>2.52</v>
      </c>
      <c r="G107" s="27">
        <f>IFERROR(VLOOKUP(A107,'Price Master List'!A:N,14,FALSE),0)</f>
        <v>2.59</v>
      </c>
      <c r="H107" s="28">
        <f t="shared" si="15"/>
        <v>6.999999999999984E-2</v>
      </c>
      <c r="I107" s="38">
        <v>0</v>
      </c>
      <c r="J107" s="3">
        <f t="shared" si="16"/>
        <v>0</v>
      </c>
      <c r="K107" s="4">
        <f t="shared" si="17"/>
        <v>0</v>
      </c>
      <c r="L107" s="3">
        <f t="shared" si="18"/>
        <v>0</v>
      </c>
      <c r="M107" s="4">
        <f t="shared" si="19"/>
        <v>0</v>
      </c>
    </row>
    <row r="108" spans="1:13" x14ac:dyDescent="0.35">
      <c r="A108" t="s">
        <v>139</v>
      </c>
      <c r="B108" s="26">
        <f>VLOOKUP(A108,'Price Master List'!A:Q,15,FALSE)</f>
        <v>2.5299999999999998</v>
      </c>
      <c r="C108" s="27" t="str">
        <f>VLOOKUP(A108,'Price Master List'!A:Q,16,FALSE)</f>
        <v>pounds</v>
      </c>
      <c r="D108" s="5" t="str">
        <f>VLOOKUP(A108,'Price Master List'!A:Q,17,FALSE)</f>
        <v>Sam's Club</v>
      </c>
      <c r="E108" s="27">
        <f>IFERROR(VLOOKUP(A108,'Price Master List'!A:N,6,FALSE),0)</f>
        <v>2.5299999999999998</v>
      </c>
      <c r="F108" s="27">
        <f>IFERROR(VLOOKUP(A108,'Price Master List'!A:N,10),0)</f>
        <v>2.8</v>
      </c>
      <c r="G108" s="27">
        <f>IFERROR(VLOOKUP(A108,'Price Master List'!A:N,14,FALSE),0)</f>
        <v>3.09</v>
      </c>
      <c r="H108" s="28">
        <f t="shared" si="15"/>
        <v>0.56000000000000005</v>
      </c>
      <c r="I108" s="38">
        <v>0</v>
      </c>
      <c r="J108" s="3">
        <f t="shared" si="16"/>
        <v>0</v>
      </c>
      <c r="K108" s="4">
        <f t="shared" si="17"/>
        <v>0</v>
      </c>
      <c r="L108" s="3">
        <f t="shared" si="18"/>
        <v>0</v>
      </c>
      <c r="M108" s="4">
        <f t="shared" si="19"/>
        <v>0</v>
      </c>
    </row>
    <row r="109" spans="1:13" x14ac:dyDescent="0.35">
      <c r="A109" t="s">
        <v>143</v>
      </c>
      <c r="B109" s="26">
        <f>VLOOKUP(A109,'Price Master List'!A:Q,15,FALSE)</f>
        <v>0.17</v>
      </c>
      <c r="C109" s="27" t="str">
        <f>VLOOKUP(A109,'Price Master List'!A:Q,16,FALSE)</f>
        <v>ounces</v>
      </c>
      <c r="D109" s="5" t="str">
        <f>VLOOKUP(A109,'Price Master List'!A:Q,17,FALSE)</f>
        <v>Sam's Club</v>
      </c>
      <c r="E109" s="27">
        <f>IFERROR(VLOOKUP(A109,'Price Master List'!A:N,6,FALSE),0)</f>
        <v>0.17</v>
      </c>
      <c r="F109" s="27">
        <f>IFERROR(VLOOKUP(A109,'Price Master List'!A:N,10),0)</f>
        <v>0.34</v>
      </c>
      <c r="G109" s="27">
        <f>IFERROR(VLOOKUP(A109,'Price Master List'!A:N,14,FALSE),0)</f>
        <v>0.26</v>
      </c>
      <c r="H109" s="28">
        <f t="shared" si="15"/>
        <v>0.09</v>
      </c>
      <c r="I109" s="38">
        <v>0</v>
      </c>
      <c r="J109" s="3">
        <f t="shared" si="16"/>
        <v>0</v>
      </c>
      <c r="K109" s="4">
        <f t="shared" si="17"/>
        <v>0</v>
      </c>
      <c r="L109" s="3">
        <f t="shared" si="18"/>
        <v>0</v>
      </c>
      <c r="M109" s="4">
        <f t="shared" si="19"/>
        <v>0</v>
      </c>
    </row>
    <row r="110" spans="1:13" x14ac:dyDescent="0.35">
      <c r="A110" t="s">
        <v>142</v>
      </c>
      <c r="B110" s="26">
        <f>VLOOKUP(A110,'Price Master List'!A:Q,15,FALSE)</f>
        <v>2.8</v>
      </c>
      <c r="C110" s="27" t="str">
        <f>VLOOKUP(A110,'Price Master List'!A:Q,16,FALSE)</f>
        <v>pounds</v>
      </c>
      <c r="D110" s="5" t="str">
        <f>VLOOKUP(A110,'Price Master List'!A:Q,17,FALSE)</f>
        <v>Costco</v>
      </c>
      <c r="E110" s="27">
        <f>IFERROR(VLOOKUP(A110,'Price Master List'!A:N,6,FALSE),0)</f>
        <v>3.19</v>
      </c>
      <c r="F110" s="27">
        <f>IFERROR(VLOOKUP(A110,'Price Master List'!A:N,10),0)</f>
        <v>2.8</v>
      </c>
      <c r="G110" s="27">
        <f>IFERROR(VLOOKUP(A110,'Price Master List'!A:N,14,FALSE),0)</f>
        <v>4.12</v>
      </c>
      <c r="H110" s="28">
        <f t="shared" si="15"/>
        <v>1.3200000000000003</v>
      </c>
      <c r="I110" s="38">
        <v>0</v>
      </c>
      <c r="J110" s="3">
        <f t="shared" si="16"/>
        <v>0</v>
      </c>
      <c r="K110" s="4">
        <f t="shared" si="17"/>
        <v>0</v>
      </c>
      <c r="L110" s="3">
        <f t="shared" si="18"/>
        <v>0</v>
      </c>
      <c r="M110" s="4">
        <f t="shared" si="19"/>
        <v>0</v>
      </c>
    </row>
    <row r="111" spans="1:13" x14ac:dyDescent="0.35">
      <c r="A111" t="s">
        <v>12</v>
      </c>
      <c r="B111" s="26">
        <f>VLOOKUP(A111,'Price Master List'!A:Q,15,FALSE)</f>
        <v>0.15</v>
      </c>
      <c r="C111" s="27" t="str">
        <f>VLOOKUP(A111,'Price Master List'!A:Q,16,FALSE)</f>
        <v>pounds</v>
      </c>
      <c r="D111" s="5" t="str">
        <f>VLOOKUP(A111,'Price Master List'!A:Q,17,FALSE)</f>
        <v>Sam's Club</v>
      </c>
      <c r="E111" s="27">
        <f>IFERROR(VLOOKUP(A111,'Price Master List'!A:N,6,FALSE),0)</f>
        <v>0.15</v>
      </c>
      <c r="F111" s="27">
        <f>IFERROR(VLOOKUP(A111,'Price Master List'!A:N,10),0)</f>
        <v>2.54</v>
      </c>
      <c r="G111" s="27">
        <f>IFERROR(VLOOKUP(A111,'Price Master List'!A:N,14,FALSE),0)</f>
        <v>2.59</v>
      </c>
      <c r="H111" s="28">
        <f t="shared" si="15"/>
        <v>2.44</v>
      </c>
      <c r="I111" s="38">
        <v>0</v>
      </c>
      <c r="J111" s="3">
        <f t="shared" si="16"/>
        <v>0</v>
      </c>
      <c r="K111" s="4">
        <f t="shared" si="17"/>
        <v>0</v>
      </c>
      <c r="L111" s="3">
        <f t="shared" si="18"/>
        <v>0</v>
      </c>
      <c r="M111" s="4">
        <f t="shared" si="19"/>
        <v>0</v>
      </c>
    </row>
    <row r="112" spans="1:13" x14ac:dyDescent="0.35">
      <c r="A112" t="s">
        <v>102</v>
      </c>
      <c r="B112" s="26">
        <f>VLOOKUP(A112,'Price Master List'!A:Q,15,FALSE)</f>
        <v>0.41</v>
      </c>
      <c r="C112" s="27" t="str">
        <f>VLOOKUP(A112,'Price Master List'!A:Q,16,FALSE)</f>
        <v>ounces</v>
      </c>
      <c r="D112" s="5" t="str">
        <f>VLOOKUP(A112,'Price Master List'!A:Q,17,FALSE)</f>
        <v>Sam's Club</v>
      </c>
      <c r="E112" s="27">
        <f>IFERROR(VLOOKUP(A112,'Price Master List'!A:N,6,FALSE),0)</f>
        <v>0.41</v>
      </c>
      <c r="F112" s="27">
        <f>IFERROR(VLOOKUP(A112,'Price Master List'!A:N,10),0)</f>
        <v>0.91</v>
      </c>
      <c r="G112" s="27">
        <f>IFERROR(VLOOKUP(A112,'Price Master List'!A:N,14,FALSE),0)</f>
        <v>0</v>
      </c>
      <c r="H112" s="28">
        <f t="shared" si="15"/>
        <v>0</v>
      </c>
      <c r="I112" s="38">
        <v>0</v>
      </c>
      <c r="J112" s="3">
        <f t="shared" si="16"/>
        <v>0</v>
      </c>
      <c r="K112" s="4">
        <f t="shared" si="17"/>
        <v>0</v>
      </c>
      <c r="L112" s="3">
        <f t="shared" si="18"/>
        <v>0</v>
      </c>
      <c r="M112" s="4">
        <f t="shared" si="19"/>
        <v>0</v>
      </c>
    </row>
    <row r="113" spans="1:13" x14ac:dyDescent="0.35">
      <c r="A113" t="s">
        <v>140</v>
      </c>
      <c r="B113" s="26">
        <f>VLOOKUP(A113,'Price Master List'!A:Q,15,FALSE)</f>
        <v>3.99</v>
      </c>
      <c r="C113" s="27" t="str">
        <f>VLOOKUP(A113,'Price Master List'!A:Q,16,FALSE)</f>
        <v>pounds</v>
      </c>
      <c r="D113" s="5" t="str">
        <f>VLOOKUP(A113,'Price Master List'!A:Q,17,FALSE)</f>
        <v>Sam's Club</v>
      </c>
      <c r="E113" s="27">
        <f>IFERROR(VLOOKUP(A113,'Price Master List'!A:N,6,FALSE),0)</f>
        <v>3.99</v>
      </c>
      <c r="F113" s="27">
        <f>IFERROR(VLOOKUP(A113,'Price Master List'!A:N,10),0)</f>
        <v>4.4000000000000004</v>
      </c>
      <c r="G113" s="27">
        <f>IFERROR(VLOOKUP(A113,'Price Master List'!A:N,14,FALSE),0)</f>
        <v>0</v>
      </c>
      <c r="H113" s="28">
        <f t="shared" si="15"/>
        <v>0</v>
      </c>
      <c r="I113" s="38">
        <v>0</v>
      </c>
      <c r="J113" s="3">
        <f t="shared" si="16"/>
        <v>0</v>
      </c>
      <c r="K113" s="4">
        <f t="shared" si="17"/>
        <v>0</v>
      </c>
      <c r="L113" s="3">
        <f t="shared" si="18"/>
        <v>0</v>
      </c>
      <c r="M113" s="4">
        <f t="shared" si="19"/>
        <v>0</v>
      </c>
    </row>
    <row r="114" spans="1:13" x14ac:dyDescent="0.35">
      <c r="A114" t="s">
        <v>111</v>
      </c>
      <c r="B114" s="26">
        <f>VLOOKUP(A114,'Price Master List'!A:Q,15,FALSE)</f>
        <v>0.95</v>
      </c>
      <c r="C114" s="27" t="str">
        <f>VLOOKUP(A114,'Price Master List'!A:Q,16,FALSE)</f>
        <v>pounds</v>
      </c>
      <c r="D114" s="5" t="str">
        <f>VLOOKUP(A114,'Price Master List'!A:Q,17,FALSE)</f>
        <v>Aldi</v>
      </c>
      <c r="E114" s="27">
        <f>IFERROR(VLOOKUP(A114,'Price Master List'!A:N,6,FALSE),0)</f>
        <v>1.29</v>
      </c>
      <c r="F114" s="27">
        <f>IFERROR(VLOOKUP(A114,'Price Master List'!A:N,10),0)</f>
        <v>1.3</v>
      </c>
      <c r="G114" s="27">
        <f>IFERROR(VLOOKUP(A114,'Price Master List'!A:N,14,FALSE),0)</f>
        <v>0.95</v>
      </c>
      <c r="H114" s="28">
        <f t="shared" si="15"/>
        <v>0</v>
      </c>
      <c r="I114" s="38">
        <v>0</v>
      </c>
      <c r="J114" s="3">
        <f t="shared" si="16"/>
        <v>0</v>
      </c>
      <c r="K114" s="4">
        <f t="shared" si="17"/>
        <v>0</v>
      </c>
      <c r="L114" s="3">
        <f t="shared" si="18"/>
        <v>0</v>
      </c>
      <c r="M114" s="4">
        <f t="shared" si="19"/>
        <v>0</v>
      </c>
    </row>
    <row r="115" spans="1:13" x14ac:dyDescent="0.35">
      <c r="A115" t="s">
        <v>164</v>
      </c>
      <c r="B115" s="26">
        <f>VLOOKUP(A115,'Price Master List'!A:Q,15,FALSE)</f>
        <v>0.09</v>
      </c>
      <c r="C115" s="27" t="str">
        <f>VLOOKUP(A115,'Price Master List'!A:Q,16,FALSE)</f>
        <v>ounces</v>
      </c>
      <c r="D115" s="5" t="str">
        <f>VLOOKUP(A115,'Price Master List'!A:Q,17,FALSE)</f>
        <v>Aldi</v>
      </c>
      <c r="E115" s="27">
        <f>IFERROR(VLOOKUP(A115,'Price Master List'!A:N,6,FALSE),0)</f>
        <v>0.1</v>
      </c>
      <c r="F115" s="27">
        <f>IFERROR(VLOOKUP(A115,'Price Master List'!A:N,10),0)</f>
        <v>0.09</v>
      </c>
      <c r="G115" s="27">
        <f>IFERROR(VLOOKUP(A115,'Price Master List'!A:N,14,FALSE),0)</f>
        <v>0.09</v>
      </c>
      <c r="H115" s="28">
        <f t="shared" si="15"/>
        <v>0</v>
      </c>
      <c r="I115" s="38">
        <v>0</v>
      </c>
      <c r="J115" s="3">
        <f t="shared" si="16"/>
        <v>0</v>
      </c>
      <c r="K115" s="4">
        <f t="shared" si="17"/>
        <v>0</v>
      </c>
      <c r="L115" s="3">
        <f t="shared" si="18"/>
        <v>0</v>
      </c>
      <c r="M115" s="4">
        <f t="shared" si="19"/>
        <v>0</v>
      </c>
    </row>
    <row r="116" spans="1:13" x14ac:dyDescent="0.35">
      <c r="A116" t="s">
        <v>46</v>
      </c>
      <c r="B116" s="26">
        <f>VLOOKUP(A116,'Price Master List'!A:Q,15,FALSE)</f>
        <v>0.66</v>
      </c>
      <c r="C116" s="27" t="str">
        <f>VLOOKUP(A116,'Price Master List'!A:Q,16,FALSE)</f>
        <v>pound</v>
      </c>
      <c r="D116" s="5" t="str">
        <f>VLOOKUP(A116,'Price Master List'!A:Q,17,FALSE)</f>
        <v>Sam's Club</v>
      </c>
      <c r="E116" s="27">
        <f>IFERROR(VLOOKUP(A116,'Price Master List'!A:N,6,FALSE),0)</f>
        <v>0.66</v>
      </c>
      <c r="F116" s="27">
        <f>IFERROR(VLOOKUP(A116,'Price Master List'!A:N,10),0)</f>
        <v>1</v>
      </c>
      <c r="G116" s="27">
        <f>IFERROR(VLOOKUP(A116,'Price Master List'!A:N,14,FALSE),0)</f>
        <v>0.7</v>
      </c>
      <c r="H116" s="28">
        <f t="shared" si="15"/>
        <v>3.9999999999999925E-2</v>
      </c>
      <c r="I116" s="38">
        <v>0</v>
      </c>
      <c r="J116" s="3">
        <f t="shared" si="16"/>
        <v>0</v>
      </c>
      <c r="K116" s="4">
        <f t="shared" si="17"/>
        <v>0</v>
      </c>
      <c r="L116" s="3">
        <f t="shared" si="18"/>
        <v>0</v>
      </c>
      <c r="M116" s="4">
        <f t="shared" si="19"/>
        <v>0</v>
      </c>
    </row>
    <row r="117" spans="1:13" x14ac:dyDescent="0.35">
      <c r="A117" t="s">
        <v>83</v>
      </c>
      <c r="B117" s="26">
        <f>VLOOKUP(A117,'Price Master List'!A:Q,15,FALSE)</f>
        <v>3.59</v>
      </c>
      <c r="C117" s="27" t="str">
        <f>VLOOKUP(A117,'Price Master List'!A:Q,16,FALSE)</f>
        <v>pound</v>
      </c>
      <c r="D117" s="5" t="str">
        <f>VLOOKUP(A117,'Price Master List'!A:Q,17,FALSE)</f>
        <v>Costco</v>
      </c>
      <c r="E117" s="27">
        <f>IFERROR(VLOOKUP(A117,'Price Master List'!A:N,6,FALSE),0)</f>
        <v>3.63</v>
      </c>
      <c r="F117" s="27">
        <f>IFERROR(VLOOKUP(A117,'Price Master List'!A:N,10),0)</f>
        <v>3.59</v>
      </c>
      <c r="G117" s="27">
        <f>IFERROR(VLOOKUP(A117,'Price Master List'!A:N,14,FALSE),0)</f>
        <v>3.78</v>
      </c>
      <c r="H117" s="28">
        <f t="shared" si="15"/>
        <v>0.18999999999999995</v>
      </c>
      <c r="I117" s="38">
        <v>0</v>
      </c>
      <c r="J117" s="3">
        <f t="shared" si="16"/>
        <v>0</v>
      </c>
      <c r="K117" s="4">
        <f t="shared" si="17"/>
        <v>0</v>
      </c>
      <c r="L117" s="3">
        <f t="shared" si="18"/>
        <v>0</v>
      </c>
      <c r="M117" s="4">
        <f t="shared" si="19"/>
        <v>0</v>
      </c>
    </row>
    <row r="118" spans="1:13" x14ac:dyDescent="0.35">
      <c r="A118" t="s">
        <v>23</v>
      </c>
      <c r="B118" s="26">
        <f>VLOOKUP(A118,'Price Master List'!A:Q,15,FALSE)</f>
        <v>0.6</v>
      </c>
      <c r="C118" s="27" t="str">
        <f>VLOOKUP(A118,'Price Master List'!A:Q,16,FALSE)</f>
        <v>cans</v>
      </c>
      <c r="D118" s="5" t="str">
        <f>VLOOKUP(A118,'Price Master List'!A:Q,17,FALSE)</f>
        <v>Aldi</v>
      </c>
      <c r="E118" s="27">
        <f>IFERROR(VLOOKUP(A118,'Price Master List'!A:N,6,FALSE),0)</f>
        <v>0.81</v>
      </c>
      <c r="F118" s="27">
        <f>IFERROR(VLOOKUP(A118,'Price Master List'!A:N,10),0)</f>
        <v>0</v>
      </c>
      <c r="G118" s="27">
        <f>IFERROR(VLOOKUP(A118,'Price Master List'!A:N,14,FALSE),0)</f>
        <v>0.6</v>
      </c>
      <c r="H118" s="28">
        <f t="shared" si="15"/>
        <v>0</v>
      </c>
      <c r="I118" s="38">
        <v>0</v>
      </c>
      <c r="J118" s="3">
        <f t="shared" si="16"/>
        <v>0</v>
      </c>
      <c r="K118" s="4">
        <f t="shared" si="17"/>
        <v>0</v>
      </c>
      <c r="L118" s="3">
        <f t="shared" si="18"/>
        <v>0</v>
      </c>
      <c r="M118" s="4">
        <f t="shared" si="19"/>
        <v>0</v>
      </c>
    </row>
    <row r="119" spans="1:13" x14ac:dyDescent="0.35">
      <c r="A119" t="s">
        <v>141</v>
      </c>
      <c r="B119" s="26">
        <f>VLOOKUP(A119,'Price Master List'!A:Q,15,FALSE)</f>
        <v>0.17</v>
      </c>
      <c r="C119" s="27" t="str">
        <f>VLOOKUP(A119,'Price Master List'!A:Q,16,FALSE)</f>
        <v>count</v>
      </c>
      <c r="D119" s="5" t="str">
        <f>VLOOKUP(A119,'Price Master List'!A:Q,17,FALSE)</f>
        <v>Costco</v>
      </c>
      <c r="E119" s="27">
        <f>IFERROR(VLOOKUP(A119,'Price Master List'!A:N,6,FALSE),0)</f>
        <v>0.17</v>
      </c>
      <c r="F119" s="27">
        <f>IFERROR(VLOOKUP(A119,'Price Master List'!A:N,10),0)</f>
        <v>0.17</v>
      </c>
      <c r="G119" s="27">
        <f>IFERROR(VLOOKUP(A119,'Price Master List'!A:N,14,FALSE),0)</f>
        <v>0.26</v>
      </c>
      <c r="H119" s="28">
        <f t="shared" si="15"/>
        <v>0.09</v>
      </c>
      <c r="I119" s="38">
        <v>0</v>
      </c>
      <c r="J119" s="3">
        <f t="shared" si="16"/>
        <v>0</v>
      </c>
      <c r="K119" s="4">
        <f t="shared" si="17"/>
        <v>0</v>
      </c>
      <c r="L119" s="3">
        <f t="shared" si="18"/>
        <v>0</v>
      </c>
      <c r="M119" s="4">
        <f t="shared" si="19"/>
        <v>0</v>
      </c>
    </row>
    <row r="120" spans="1:13" x14ac:dyDescent="0.35">
      <c r="A120" t="s">
        <v>36</v>
      </c>
      <c r="B120" s="26">
        <f>VLOOKUP(A120,'Price Master List'!A:Q,15,FALSE)</f>
        <v>0.48</v>
      </c>
      <c r="C120" s="27" t="str">
        <f>VLOOKUP(A120,'Price Master List'!A:Q,16,FALSE)</f>
        <v>pound</v>
      </c>
      <c r="D120" s="5" t="str">
        <f>VLOOKUP(A120,'Price Master List'!A:Q,17,FALSE)</f>
        <v>Aldi</v>
      </c>
      <c r="E120" s="27">
        <f>IFERROR(VLOOKUP(A120,'Price Master List'!A:N,6,FALSE),0)</f>
        <v>0.5</v>
      </c>
      <c r="F120" s="27">
        <f>IFERROR(VLOOKUP(A120,'Price Master List'!A:N,10),0)</f>
        <v>0.5</v>
      </c>
      <c r="G120" s="27">
        <f>IFERROR(VLOOKUP(A120,'Price Master List'!A:N,14,FALSE),0)</f>
        <v>0.48</v>
      </c>
      <c r="H120" s="28">
        <f t="shared" si="15"/>
        <v>0</v>
      </c>
      <c r="I120" s="38">
        <v>0</v>
      </c>
      <c r="J120" s="3">
        <f t="shared" si="16"/>
        <v>0</v>
      </c>
      <c r="K120" s="4">
        <f t="shared" si="17"/>
        <v>0</v>
      </c>
      <c r="L120" s="3">
        <f t="shared" si="18"/>
        <v>0</v>
      </c>
      <c r="M120" s="4">
        <f t="shared" si="19"/>
        <v>0</v>
      </c>
    </row>
    <row r="121" spans="1:13" x14ac:dyDescent="0.35">
      <c r="A121" t="s">
        <v>14</v>
      </c>
      <c r="B121" s="26">
        <f>VLOOKUP(A121,'Price Master List'!A:Q,15,FALSE)</f>
        <v>3.98</v>
      </c>
      <c r="C121" s="27" t="str">
        <f>VLOOKUP(A121,'Price Master List'!A:Q,16,FALSE)</f>
        <v>pound</v>
      </c>
      <c r="D121" s="5" t="str">
        <f>VLOOKUP(A121,'Price Master List'!A:Q,17,FALSE)</f>
        <v>Sam's Club</v>
      </c>
      <c r="E121" s="27">
        <f>IFERROR(VLOOKUP(A121,'Price Master List'!A:N,6,FALSE),0)</f>
        <v>3.98</v>
      </c>
      <c r="F121" s="27">
        <f>IFERROR(VLOOKUP(A121,'Price Master List'!A:N,10),0)</f>
        <v>0</v>
      </c>
      <c r="G121" s="27">
        <f>IFERROR(VLOOKUP(A121,'Price Master List'!A:N,14,FALSE),0)</f>
        <v>4.1900000000000004</v>
      </c>
      <c r="H121" s="28">
        <f t="shared" si="15"/>
        <v>0.21000000000000041</v>
      </c>
      <c r="I121" s="38">
        <v>0</v>
      </c>
      <c r="J121" s="3">
        <f t="shared" si="16"/>
        <v>0</v>
      </c>
      <c r="K121" s="4">
        <f t="shared" si="17"/>
        <v>0</v>
      </c>
      <c r="L121" s="3">
        <f t="shared" si="18"/>
        <v>0</v>
      </c>
      <c r="M121" s="4">
        <f t="shared" si="19"/>
        <v>0</v>
      </c>
    </row>
    <row r="122" spans="1:13" x14ac:dyDescent="0.35">
      <c r="A122" t="s">
        <v>82</v>
      </c>
      <c r="B122" s="26">
        <f>VLOOKUP(A122,'Price Master List'!A:Q,15,FALSE)</f>
        <v>0.76</v>
      </c>
      <c r="C122" s="27" t="str">
        <f>VLOOKUP(A122,'Price Master List'!A:Q,16,FALSE)</f>
        <v>pound</v>
      </c>
      <c r="D122" s="5" t="str">
        <f>VLOOKUP(A122,'Price Master List'!A:Q,17,FALSE)</f>
        <v>Aldi</v>
      </c>
      <c r="E122" s="27">
        <f>IFERROR(VLOOKUP(A122,'Price Master List'!A:N,6,FALSE),0)</f>
        <v>0.9</v>
      </c>
      <c r="F122" s="27">
        <f>IFERROR(VLOOKUP(A122,'Price Master List'!A:N,10),0)</f>
        <v>0.89</v>
      </c>
      <c r="G122" s="27">
        <f>IFERROR(VLOOKUP(A122,'Price Master List'!A:N,14,FALSE),0)</f>
        <v>0.76</v>
      </c>
      <c r="H122" s="28">
        <f t="shared" si="15"/>
        <v>0</v>
      </c>
      <c r="I122" s="38">
        <v>0</v>
      </c>
      <c r="J122" s="3">
        <f t="shared" si="16"/>
        <v>0</v>
      </c>
      <c r="K122" s="4">
        <f t="shared" si="17"/>
        <v>0</v>
      </c>
      <c r="L122" s="3">
        <f t="shared" si="18"/>
        <v>0</v>
      </c>
      <c r="M122" s="4">
        <f t="shared" si="19"/>
        <v>0</v>
      </c>
    </row>
    <row r="123" spans="1:13" x14ac:dyDescent="0.35">
      <c r="A123" t="s">
        <v>116</v>
      </c>
      <c r="B123" s="26">
        <f>VLOOKUP(A123,'Price Master List'!A:Q,15,FALSE)</f>
        <v>0.01</v>
      </c>
      <c r="C123" s="27" t="str">
        <f>VLOOKUP(A123,'Price Master List'!A:Q,16,FALSE)</f>
        <v>tissues</v>
      </c>
      <c r="D123" s="5" t="str">
        <f>VLOOKUP(A123,'Price Master List'!A:Q,17,FALSE)</f>
        <v>Aldi</v>
      </c>
      <c r="E123" s="27">
        <f>IFERROR(VLOOKUP(A123,'Price Master List'!A:N,6,FALSE),0)</f>
        <v>0.01</v>
      </c>
      <c r="F123" s="27">
        <f>IFERROR(VLOOKUP(A123,'Price Master List'!A:N,10),0)</f>
        <v>0.01</v>
      </c>
      <c r="G123" s="27">
        <f>IFERROR(VLOOKUP(A123,'Price Master List'!A:N,14,FALSE),0)</f>
        <v>0.01</v>
      </c>
      <c r="H123" s="28">
        <f t="shared" si="15"/>
        <v>0</v>
      </c>
      <c r="I123" s="38">
        <v>0</v>
      </c>
      <c r="J123" s="3">
        <f t="shared" si="16"/>
        <v>0</v>
      </c>
      <c r="K123" s="4">
        <f t="shared" si="17"/>
        <v>0</v>
      </c>
      <c r="L123" s="3">
        <f t="shared" si="18"/>
        <v>0</v>
      </c>
      <c r="M123" s="4">
        <f t="shared" si="19"/>
        <v>0</v>
      </c>
    </row>
    <row r="124" spans="1:13" x14ac:dyDescent="0.35">
      <c r="A124" t="s">
        <v>113</v>
      </c>
      <c r="B124" s="37">
        <f>VLOOKUP(A124,'Price Master List'!A:Q,15,FALSE)</f>
        <v>1.578E-3</v>
      </c>
      <c r="C124" s="27" t="str">
        <f>VLOOKUP(A124,'Price Master List'!A:Q,16,FALSE)</f>
        <v xml:space="preserve">squares </v>
      </c>
      <c r="D124" s="5" t="str">
        <f>VLOOKUP(A124,'Price Master List'!A:Q,17,FALSE)</f>
        <v>Costco</v>
      </c>
      <c r="E124" s="27">
        <f>IFERROR(VLOOKUP(A124,'Price Master List'!A:N,6,FALSE),0)</f>
        <v>1.8890000000000001E-3</v>
      </c>
      <c r="F124" s="27">
        <f>IFERROR(VLOOKUP(A124,'Price Master List'!A:N,10),0)</f>
        <v>1.578E-3</v>
      </c>
      <c r="G124" s="27">
        <f>IFERROR(VLOOKUP(A124,'Price Master List'!A:N,14,FALSE),0)</f>
        <v>1.7359999999999999E-3</v>
      </c>
      <c r="H124" s="28">
        <f t="shared" si="15"/>
        <v>1.5799999999999994E-4</v>
      </c>
      <c r="I124" s="38">
        <v>0</v>
      </c>
      <c r="J124" s="3">
        <f t="shared" si="16"/>
        <v>0</v>
      </c>
      <c r="K124" s="4">
        <f t="shared" si="17"/>
        <v>0</v>
      </c>
      <c r="L124" s="3">
        <f t="shared" si="18"/>
        <v>0</v>
      </c>
      <c r="M124" s="4">
        <f t="shared" si="19"/>
        <v>0</v>
      </c>
    </row>
    <row r="125" spans="1:13" x14ac:dyDescent="0.35">
      <c r="A125" t="s">
        <v>26</v>
      </c>
      <c r="B125" s="26">
        <f>VLOOKUP(A125,'Price Master List'!A:Q,15,FALSE)</f>
        <v>0.08</v>
      </c>
      <c r="C125" s="27" t="str">
        <f>VLOOKUP(A125,'Price Master List'!A:Q,16,FALSE)</f>
        <v>ounces</v>
      </c>
      <c r="D125" s="5" t="str">
        <f>VLOOKUP(A125,'Price Master List'!A:Q,17,FALSE)</f>
        <v>Aldi</v>
      </c>
      <c r="E125" s="27">
        <f>IFERROR(VLOOKUP(A125,'Price Master List'!A:N,6,FALSE),0)</f>
        <v>0.08</v>
      </c>
      <c r="F125" s="27">
        <f>IFERROR(VLOOKUP(A125,'Price Master List'!A:N,10),0)</f>
        <v>0.1</v>
      </c>
      <c r="G125" s="27">
        <f>IFERROR(VLOOKUP(A125,'Price Master List'!A:N,14,FALSE),0)</f>
        <v>0.08</v>
      </c>
      <c r="H125" s="28">
        <f t="shared" si="15"/>
        <v>0</v>
      </c>
      <c r="I125" s="38">
        <v>0</v>
      </c>
      <c r="J125" s="3">
        <f t="shared" si="16"/>
        <v>0</v>
      </c>
      <c r="K125" s="4">
        <f t="shared" si="17"/>
        <v>0</v>
      </c>
      <c r="L125" s="3">
        <f t="shared" si="18"/>
        <v>0</v>
      </c>
      <c r="M125" s="4">
        <f t="shared" si="19"/>
        <v>0</v>
      </c>
    </row>
    <row r="126" spans="1:13" x14ac:dyDescent="0.35">
      <c r="A126" t="s">
        <v>201</v>
      </c>
      <c r="B126" s="26">
        <f>VLOOKUP(A126,'Price Master List'!A:Q,15,FALSE)</f>
        <v>0.04</v>
      </c>
      <c r="C126" s="27" t="str">
        <f>VLOOKUP(A126,'Price Master List'!A:Q,16,FALSE)</f>
        <v>ounces</v>
      </c>
      <c r="D126" s="5" t="str">
        <f>VLOOKUP(A126,'Price Master List'!A:Q,17,FALSE)</f>
        <v>Aldi</v>
      </c>
      <c r="E126" s="27">
        <f>IFERROR(VLOOKUP(A126,'Price Master List'!A:N,6,FALSE),0)</f>
        <v>0.04</v>
      </c>
      <c r="F126" s="27">
        <f>IFERROR(VLOOKUP(A126,'Price Master List'!A:N,10),0)</f>
        <v>0</v>
      </c>
      <c r="G126" s="27">
        <f>IFERROR(VLOOKUP(A126,'Price Master List'!A:N,14,FALSE),0)</f>
        <v>0.04</v>
      </c>
      <c r="H126" s="28">
        <f t="shared" si="15"/>
        <v>0</v>
      </c>
      <c r="I126" s="38">
        <v>0</v>
      </c>
      <c r="J126" s="3">
        <f t="shared" si="16"/>
        <v>0</v>
      </c>
      <c r="K126" s="4">
        <f t="shared" si="17"/>
        <v>0</v>
      </c>
      <c r="L126" s="3">
        <f t="shared" si="18"/>
        <v>0</v>
      </c>
      <c r="M126" s="4">
        <f t="shared" si="19"/>
        <v>0</v>
      </c>
    </row>
    <row r="127" spans="1:13" x14ac:dyDescent="0.35">
      <c r="A127" t="s">
        <v>211</v>
      </c>
      <c r="B127" s="26">
        <f>VLOOKUP(A127,'Price Master List'!A:Q,15,FALSE)</f>
        <v>1.38</v>
      </c>
      <c r="C127" s="27" t="str">
        <f>VLOOKUP(A127,'Price Master List'!A:Q,16,FALSE)</f>
        <v>pound</v>
      </c>
      <c r="D127" s="5" t="str">
        <f>VLOOKUP(A127,'Price Master List'!A:Q,17,FALSE)</f>
        <v>Sam's Club</v>
      </c>
      <c r="E127" s="27">
        <f>IFERROR(VLOOKUP(A127,'Price Master List'!A:N,6,FALSE),0)</f>
        <v>1.38</v>
      </c>
      <c r="F127" s="27">
        <f>IFERROR(VLOOKUP(A127,'Price Master List'!A:N,10),0)</f>
        <v>0</v>
      </c>
      <c r="G127" s="27">
        <f>IFERROR(VLOOKUP(A127,'Price Master List'!A:N,14,FALSE),0)</f>
        <v>2.4900000000000002</v>
      </c>
      <c r="H127" s="28">
        <f t="shared" si="15"/>
        <v>1.1100000000000003</v>
      </c>
      <c r="I127" s="38">
        <v>0</v>
      </c>
      <c r="J127" s="3">
        <f t="shared" si="16"/>
        <v>0</v>
      </c>
      <c r="K127" s="4">
        <f t="shared" si="17"/>
        <v>0</v>
      </c>
      <c r="L127" s="3">
        <f t="shared" si="18"/>
        <v>0</v>
      </c>
      <c r="M127" s="4">
        <f t="shared" si="19"/>
        <v>0</v>
      </c>
    </row>
    <row r="128" spans="1:13" x14ac:dyDescent="0.35">
      <c r="A128" t="s">
        <v>31</v>
      </c>
      <c r="B128" s="26">
        <f>VLOOKUP(A128,'Price Master List'!A:Q,15,FALSE)</f>
        <v>0.09</v>
      </c>
      <c r="C128" s="27" t="str">
        <f>VLOOKUP(A128,'Price Master List'!A:Q,16,FALSE)</f>
        <v>ounces</v>
      </c>
      <c r="D128" s="5" t="str">
        <f>VLOOKUP(A128,'Price Master List'!A:Q,17,FALSE)</f>
        <v>Costco</v>
      </c>
      <c r="E128" s="27">
        <f>IFERROR(VLOOKUP(A128,'Price Master List'!A:N,6,FALSE),0)</f>
        <v>0.1</v>
      </c>
      <c r="F128" s="27">
        <f>IFERROR(VLOOKUP(A128,'Price Master List'!A:N,10),0)</f>
        <v>0.09</v>
      </c>
      <c r="G128" s="27">
        <f>IFERROR(VLOOKUP(A128,'Price Master List'!A:N,14,FALSE),0)</f>
        <v>0.1</v>
      </c>
      <c r="H128" s="28">
        <f t="shared" si="15"/>
        <v>1.0000000000000009E-2</v>
      </c>
      <c r="I128" s="38">
        <v>0</v>
      </c>
      <c r="J128" s="3">
        <f t="shared" si="16"/>
        <v>0</v>
      </c>
      <c r="K128" s="4">
        <f t="shared" si="17"/>
        <v>0</v>
      </c>
      <c r="L128" s="3">
        <f t="shared" si="18"/>
        <v>0</v>
      </c>
      <c r="M128" s="4">
        <f t="shared" si="19"/>
        <v>0</v>
      </c>
    </row>
    <row r="129" spans="1:13" x14ac:dyDescent="0.35">
      <c r="A129" t="s">
        <v>186</v>
      </c>
      <c r="B129" s="26">
        <f>VLOOKUP(A129,'Price Master List'!A:Q,15,FALSE)</f>
        <v>0.13</v>
      </c>
      <c r="C129" s="27" t="str">
        <f>VLOOKUP(A129,'Price Master List'!A:Q,16,FALSE)</f>
        <v>count</v>
      </c>
      <c r="D129" s="5" t="str">
        <f>VLOOKUP(A129,'Price Master List'!A:Q,17,FALSE)</f>
        <v>Costco</v>
      </c>
      <c r="E129" s="27">
        <f>IFERROR(VLOOKUP(A129,'Price Master List'!A:N,6,FALSE),0)</f>
        <v>0.13</v>
      </c>
      <c r="F129" s="27">
        <f>IFERROR(VLOOKUP(A129,'Price Master List'!A:N,10),0)</f>
        <v>0.13</v>
      </c>
      <c r="G129" s="27">
        <f>IFERROR(VLOOKUP(A129,'Price Master List'!A:N,14,FALSE),0)</f>
        <v>0.14000000000000001</v>
      </c>
      <c r="H129" s="28">
        <f t="shared" si="15"/>
        <v>1.0000000000000009E-2</v>
      </c>
      <c r="I129" s="38">
        <v>0</v>
      </c>
      <c r="J129" s="3">
        <f t="shared" si="16"/>
        <v>0</v>
      </c>
      <c r="K129" s="4">
        <f t="shared" si="17"/>
        <v>0</v>
      </c>
      <c r="L129" s="3">
        <f t="shared" si="18"/>
        <v>0</v>
      </c>
      <c r="M129" s="4">
        <f t="shared" si="19"/>
        <v>0</v>
      </c>
    </row>
    <row r="130" spans="1:13" x14ac:dyDescent="0.35">
      <c r="A130" t="s">
        <v>122</v>
      </c>
      <c r="B130" s="26">
        <f>VLOOKUP(A130,'Price Master List'!A:Q,15,FALSE)</f>
        <v>0.09</v>
      </c>
      <c r="C130" s="27" t="str">
        <f>VLOOKUP(A130,'Price Master List'!A:Q,16,FALSE)</f>
        <v>bags</v>
      </c>
      <c r="D130" s="5" t="str">
        <f>VLOOKUP(A130,'Price Master List'!A:Q,17,FALSE)</f>
        <v>Costco</v>
      </c>
      <c r="E130" s="27">
        <f>IFERROR(VLOOKUP(A130,'Price Master List'!A:N,6,FALSE),0)</f>
        <v>0.09</v>
      </c>
      <c r="F130" s="27">
        <f>IFERROR(VLOOKUP(A130,'Price Master List'!A:N,10),0)</f>
        <v>0.09</v>
      </c>
      <c r="G130" s="27">
        <f>IFERROR(VLOOKUP(A130,'Price Master List'!A:N,14,FALSE),0)</f>
        <v>0.12</v>
      </c>
      <c r="H130" s="28">
        <f t="shared" si="15"/>
        <v>0.03</v>
      </c>
      <c r="I130" s="38">
        <v>0</v>
      </c>
      <c r="J130" s="3">
        <f t="shared" si="16"/>
        <v>0</v>
      </c>
      <c r="K130" s="4">
        <f t="shared" si="17"/>
        <v>0</v>
      </c>
      <c r="L130" s="3">
        <f t="shared" si="18"/>
        <v>0</v>
      </c>
      <c r="M130" s="4">
        <f t="shared" si="19"/>
        <v>0</v>
      </c>
    </row>
    <row r="131" spans="1:13" x14ac:dyDescent="0.35">
      <c r="A131" t="s">
        <v>137</v>
      </c>
      <c r="B131" s="26">
        <f>VLOOKUP(A131,'Price Master List'!A:Q,15,FALSE)</f>
        <v>0.21</v>
      </c>
      <c r="C131" s="27" t="str">
        <f>VLOOKUP(A131,'Price Master List'!A:Q,16,FALSE)</f>
        <v>count</v>
      </c>
      <c r="D131" s="5" t="str">
        <f>VLOOKUP(A131,'Price Master List'!A:Q,17,FALSE)</f>
        <v>Costco</v>
      </c>
      <c r="E131" s="27">
        <f>IFERROR(VLOOKUP(A131,'Price Master List'!A:N,6,FALSE),0)</f>
        <v>0.24</v>
      </c>
      <c r="F131" s="27">
        <f>IFERROR(VLOOKUP(A131,'Price Master List'!A:N,10),0)</f>
        <v>0.21</v>
      </c>
      <c r="G131" s="27">
        <f>IFERROR(VLOOKUP(A131,'Price Master List'!A:N,14,FALSE),0)</f>
        <v>0</v>
      </c>
      <c r="H131" s="28">
        <f t="shared" si="15"/>
        <v>0</v>
      </c>
      <c r="I131" s="38">
        <v>0</v>
      </c>
      <c r="J131" s="3">
        <f t="shared" ref="J131:J146" si="20">IF(D131="Sam's Club",H131*I131*12,0)</f>
        <v>0</v>
      </c>
      <c r="K131" s="4">
        <f t="shared" ref="K131:K146" si="21">IF(D131="Costco",H131*I131*12,0)</f>
        <v>0</v>
      </c>
      <c r="L131" s="3">
        <f t="shared" ref="L131:L146" si="22">IF(E131&gt;0,IF(G131&gt;0,IF(G131&gt;E131,(G131-E131)*I131*12,0),0),0)</f>
        <v>0</v>
      </c>
      <c r="M131" s="4">
        <f t="shared" ref="M131:M146" si="23">IF(F131&gt;0,IF(G131&gt;0,IF(G131&gt;F131,(G131-F131)*I131*12,0),0),0)</f>
        <v>0</v>
      </c>
    </row>
    <row r="132" spans="1:13" x14ac:dyDescent="0.35">
      <c r="A132" t="s">
        <v>34</v>
      </c>
      <c r="B132" s="26">
        <f>VLOOKUP(A132,'Price Master List'!A:Q,15,FALSE)</f>
        <v>2.42</v>
      </c>
      <c r="C132" s="27" t="str">
        <f>VLOOKUP(A132,'Price Master List'!A:Q,16,FALSE)</f>
        <v>pounds</v>
      </c>
      <c r="D132" s="5" t="str">
        <f>VLOOKUP(A132,'Price Master List'!A:Q,17,FALSE)</f>
        <v>Costco</v>
      </c>
      <c r="E132" s="27">
        <f>IFERROR(VLOOKUP(A132,'Price Master List'!A:N,6,FALSE),0)</f>
        <v>2.62</v>
      </c>
      <c r="F132" s="27">
        <f>IFERROR(VLOOKUP(A132,'Price Master List'!A:N,10),0)</f>
        <v>2.42</v>
      </c>
      <c r="G132" s="27">
        <f>IFERROR(VLOOKUP(A132,'Price Master List'!A:N,14,FALSE),0)</f>
        <v>2.89</v>
      </c>
      <c r="H132" s="28">
        <f t="shared" ref="H132:H146" si="24">IF(G132=0,0,G132-B132)</f>
        <v>0.4700000000000002</v>
      </c>
      <c r="I132" s="38">
        <v>0</v>
      </c>
      <c r="J132" s="3">
        <f t="shared" si="20"/>
        <v>0</v>
      </c>
      <c r="K132" s="4">
        <f t="shared" si="21"/>
        <v>0</v>
      </c>
      <c r="L132" s="3">
        <f t="shared" si="22"/>
        <v>0</v>
      </c>
      <c r="M132" s="4">
        <f t="shared" si="23"/>
        <v>0</v>
      </c>
    </row>
    <row r="133" spans="1:13" x14ac:dyDescent="0.35">
      <c r="A133" t="s">
        <v>39</v>
      </c>
      <c r="B133" s="26">
        <f>VLOOKUP(A133,'Price Master List'!A:Q,15,FALSE)</f>
        <v>0.04</v>
      </c>
      <c r="C133" s="27" t="str">
        <f>VLOOKUP(A133,'Price Master List'!A:Q,16,FALSE)</f>
        <v>ounces</v>
      </c>
      <c r="D133" s="5" t="str">
        <f>VLOOKUP(A133,'Price Master List'!A:Q,17,FALSE)</f>
        <v>Aldi</v>
      </c>
      <c r="E133" s="27">
        <f>IFERROR(VLOOKUP(A133,'Price Master List'!A:N,6,FALSE),0)</f>
        <v>0.04</v>
      </c>
      <c r="F133" s="27">
        <f>IFERROR(VLOOKUP(A133,'Price Master List'!A:N,10),0)</f>
        <v>0</v>
      </c>
      <c r="G133" s="27">
        <f>IFERROR(VLOOKUP(A133,'Price Master List'!A:N,14,FALSE),0)</f>
        <v>0.04</v>
      </c>
      <c r="H133" s="28">
        <f t="shared" si="24"/>
        <v>0</v>
      </c>
      <c r="I133" s="38">
        <v>0</v>
      </c>
      <c r="J133" s="3">
        <f t="shared" si="20"/>
        <v>0</v>
      </c>
      <c r="K133" s="4">
        <f t="shared" si="21"/>
        <v>0</v>
      </c>
      <c r="L133" s="3">
        <f t="shared" si="22"/>
        <v>0</v>
      </c>
      <c r="M133" s="4">
        <f t="shared" si="23"/>
        <v>0</v>
      </c>
    </row>
    <row r="134" spans="1:13" x14ac:dyDescent="0.35">
      <c r="A134" t="s">
        <v>155</v>
      </c>
      <c r="B134" s="26">
        <f>VLOOKUP(A134,'Price Master List'!A:Q,15,FALSE)</f>
        <v>0.87</v>
      </c>
      <c r="C134" s="27" t="str">
        <f>VLOOKUP(A134,'Price Master List'!A:Q,16,FALSE)</f>
        <v>ounces</v>
      </c>
      <c r="D134" s="5" t="str">
        <f>VLOOKUP(A134,'Price Master List'!A:Q,17,FALSE)</f>
        <v>Costco</v>
      </c>
      <c r="E134" s="27">
        <f>IFERROR(VLOOKUP(A134,'Price Master List'!A:N,6,FALSE),0)</f>
        <v>1.72</v>
      </c>
      <c r="F134" s="27">
        <f>IFERROR(VLOOKUP(A134,'Price Master List'!A:N,10),0)</f>
        <v>0.87</v>
      </c>
      <c r="G134" s="27">
        <f>IFERROR(VLOOKUP(A134,'Price Master List'!A:N,14,FALSE),0)</f>
        <v>1.75</v>
      </c>
      <c r="H134" s="28">
        <f t="shared" si="24"/>
        <v>0.88</v>
      </c>
      <c r="I134" s="38">
        <v>0</v>
      </c>
      <c r="J134" s="3">
        <f t="shared" si="20"/>
        <v>0</v>
      </c>
      <c r="K134" s="4">
        <f t="shared" si="21"/>
        <v>0</v>
      </c>
      <c r="L134" s="3">
        <f t="shared" si="22"/>
        <v>0</v>
      </c>
      <c r="M134" s="4">
        <f t="shared" si="23"/>
        <v>0</v>
      </c>
    </row>
    <row r="135" spans="1:13" x14ac:dyDescent="0.35">
      <c r="A135" t="s">
        <v>32</v>
      </c>
      <c r="B135" s="26">
        <f>VLOOKUP(A135,'Price Master List'!A:Q,15,FALSE)</f>
        <v>1.68</v>
      </c>
      <c r="C135" s="27" t="str">
        <f>VLOOKUP(A135,'Price Master List'!A:Q,16,FALSE)</f>
        <v>pounds</v>
      </c>
      <c r="D135" s="5" t="str">
        <f>VLOOKUP(A135,'Price Master List'!A:Q,17,FALSE)</f>
        <v>Aldi</v>
      </c>
      <c r="E135" s="27">
        <f>IFERROR(VLOOKUP(A135,'Price Master List'!A:N,6,FALSE),0)</f>
        <v>1.99</v>
      </c>
      <c r="F135" s="27">
        <f>IFERROR(VLOOKUP(A135,'Price Master List'!A:N,10),0)</f>
        <v>1.86</v>
      </c>
      <c r="G135" s="27">
        <f>IFERROR(VLOOKUP(A135,'Price Master List'!A:N,14,FALSE),0)</f>
        <v>1.68</v>
      </c>
      <c r="H135" s="28">
        <f t="shared" si="24"/>
        <v>0</v>
      </c>
      <c r="I135" s="38">
        <v>0</v>
      </c>
      <c r="J135" s="3">
        <f t="shared" si="20"/>
        <v>0</v>
      </c>
      <c r="K135" s="4">
        <f t="shared" si="21"/>
        <v>0</v>
      </c>
      <c r="L135" s="3">
        <f t="shared" si="22"/>
        <v>0</v>
      </c>
      <c r="M135" s="4">
        <f t="shared" si="23"/>
        <v>0</v>
      </c>
    </row>
    <row r="136" spans="1:13" x14ac:dyDescent="0.35">
      <c r="A136" t="s">
        <v>168</v>
      </c>
      <c r="B136" s="26">
        <f>VLOOKUP(A136,'Price Master List'!A:Q,15,FALSE)</f>
        <v>2.75</v>
      </c>
      <c r="C136" s="27" t="str">
        <f>VLOOKUP(A136,'Price Master List'!A:Q,16,FALSE)</f>
        <v>pounds</v>
      </c>
      <c r="D136" s="5" t="str">
        <f>VLOOKUP(A136,'Price Master List'!A:Q,17,FALSE)</f>
        <v>Costco</v>
      </c>
      <c r="E136" s="27">
        <f>IFERROR(VLOOKUP(A136,'Price Master List'!A:N,6,FALSE),0)</f>
        <v>3.06</v>
      </c>
      <c r="F136" s="27">
        <f>IFERROR(VLOOKUP(A136,'Price Master List'!A:N,10),0)</f>
        <v>2.75</v>
      </c>
      <c r="G136" s="27">
        <f>IFERROR(VLOOKUP(A136,'Price Master List'!A:N,14,FALSE),0)</f>
        <v>0</v>
      </c>
      <c r="H136" s="28">
        <f t="shared" si="24"/>
        <v>0</v>
      </c>
      <c r="I136" s="38">
        <v>0</v>
      </c>
      <c r="J136" s="3">
        <f t="shared" si="20"/>
        <v>0</v>
      </c>
      <c r="K136" s="4">
        <f t="shared" si="21"/>
        <v>0</v>
      </c>
      <c r="L136" s="3">
        <f t="shared" si="22"/>
        <v>0</v>
      </c>
      <c r="M136" s="4">
        <f t="shared" si="23"/>
        <v>0</v>
      </c>
    </row>
    <row r="137" spans="1:13" x14ac:dyDescent="0.35">
      <c r="A137" t="s">
        <v>167</v>
      </c>
      <c r="B137" s="26">
        <f>VLOOKUP(A137,'Price Master List'!A:Q,15,FALSE)</f>
        <v>2.4900000000000002</v>
      </c>
      <c r="C137" s="27" t="str">
        <f>VLOOKUP(A137,'Price Master List'!A:Q,16,FALSE)</f>
        <v>gallon</v>
      </c>
      <c r="D137" s="5" t="str">
        <f>VLOOKUP(A137,'Price Master List'!A:Q,17,FALSE)</f>
        <v>Costco</v>
      </c>
      <c r="E137" s="27">
        <f>IFERROR(VLOOKUP(A137,'Price Master List'!A:N,6,FALSE),0)</f>
        <v>2.4900000000000002</v>
      </c>
      <c r="F137" s="27">
        <f>IFERROR(VLOOKUP(A137,'Price Master List'!A:N,10),0)</f>
        <v>2.4900000000000002</v>
      </c>
      <c r="G137" s="27">
        <f>IFERROR(VLOOKUP(A137,'Price Master List'!A:N,14,FALSE),0)</f>
        <v>2.95</v>
      </c>
      <c r="H137" s="28">
        <f t="shared" si="24"/>
        <v>0.45999999999999996</v>
      </c>
      <c r="I137" s="38">
        <v>0</v>
      </c>
      <c r="J137" s="3">
        <f t="shared" si="20"/>
        <v>0</v>
      </c>
      <c r="K137" s="4">
        <f t="shared" si="21"/>
        <v>0</v>
      </c>
      <c r="L137" s="3">
        <f t="shared" si="22"/>
        <v>0</v>
      </c>
      <c r="M137" s="4">
        <f t="shared" si="23"/>
        <v>0</v>
      </c>
    </row>
    <row r="138" spans="1:13" x14ac:dyDescent="0.35">
      <c r="A138" t="s">
        <v>154</v>
      </c>
      <c r="B138" s="26">
        <f>VLOOKUP(A138,'Price Master List'!A:Q,15,FALSE)</f>
        <v>0.25</v>
      </c>
      <c r="C138" s="27" t="str">
        <f>VLOOKUP(A138,'Price Master List'!A:Q,16,FALSE)</f>
        <v>ounces</v>
      </c>
      <c r="D138" s="5" t="str">
        <f>VLOOKUP(A138,'Price Master List'!A:Q,17,FALSE)</f>
        <v>Costco</v>
      </c>
      <c r="E138" s="27">
        <f>IFERROR(VLOOKUP(A138,'Price Master List'!A:N,6,FALSE),0)</f>
        <v>0.25</v>
      </c>
      <c r="F138" s="27">
        <f>IFERROR(VLOOKUP(A138,'Price Master List'!A:N,10),0)</f>
        <v>0.25</v>
      </c>
      <c r="G138" s="27">
        <f>IFERROR(VLOOKUP(A138,'Price Master List'!A:N,14,FALSE),0)</f>
        <v>0.33</v>
      </c>
      <c r="H138" s="28">
        <f t="shared" si="24"/>
        <v>8.0000000000000016E-2</v>
      </c>
      <c r="I138" s="38">
        <v>0</v>
      </c>
      <c r="J138" s="3">
        <f t="shared" si="20"/>
        <v>0</v>
      </c>
      <c r="K138" s="4">
        <f t="shared" si="21"/>
        <v>0</v>
      </c>
      <c r="L138" s="3">
        <f t="shared" si="22"/>
        <v>0</v>
      </c>
      <c r="M138" s="4">
        <f t="shared" si="23"/>
        <v>0</v>
      </c>
    </row>
    <row r="139" spans="1:13" x14ac:dyDescent="0.35">
      <c r="A139" t="s">
        <v>119</v>
      </c>
      <c r="B139" s="26">
        <f>VLOOKUP(A139,'Price Master List'!A:Q,15,FALSE)</f>
        <v>0.08</v>
      </c>
      <c r="C139" s="27" t="str">
        <f>VLOOKUP(A139,'Price Master List'!A:Q,16,FALSE)</f>
        <v>bottles</v>
      </c>
      <c r="D139" s="5" t="str">
        <f>VLOOKUP(A139,'Price Master List'!A:Q,17,FALSE)</f>
        <v>Costco</v>
      </c>
      <c r="E139" s="27">
        <f>IFERROR(VLOOKUP(A139,'Price Master List'!A:N,6,FALSE),0)</f>
        <v>0.08</v>
      </c>
      <c r="F139" s="27">
        <f>IFERROR(VLOOKUP(A139,'Price Master List'!A:N,10),0)</f>
        <v>0.08</v>
      </c>
      <c r="G139" s="27">
        <f>IFERROR(VLOOKUP(A139,'Price Master List'!A:N,14,FALSE),0)</f>
        <v>0.13</v>
      </c>
      <c r="H139" s="28">
        <f t="shared" si="24"/>
        <v>0.05</v>
      </c>
      <c r="I139" s="38">
        <v>0</v>
      </c>
      <c r="J139" s="3">
        <f t="shared" si="20"/>
        <v>0</v>
      </c>
      <c r="K139" s="4">
        <f t="shared" si="21"/>
        <v>0</v>
      </c>
      <c r="L139" s="3">
        <f t="shared" si="22"/>
        <v>0</v>
      </c>
      <c r="M139" s="4">
        <f t="shared" si="23"/>
        <v>0</v>
      </c>
    </row>
    <row r="140" spans="1:13" x14ac:dyDescent="0.35">
      <c r="A140" t="s">
        <v>16</v>
      </c>
      <c r="B140" s="26">
        <f>VLOOKUP(A140,'Price Master List'!A:Q,15,FALSE)</f>
        <v>0.91</v>
      </c>
      <c r="C140" s="27" t="str">
        <f>VLOOKUP(A140,'Price Master List'!A:Q,16,FALSE)</f>
        <v>pound</v>
      </c>
      <c r="D140" s="5" t="str">
        <f>VLOOKUP(A140,'Price Master List'!A:Q,17,FALSE)</f>
        <v>Sam's Club</v>
      </c>
      <c r="E140" s="27">
        <f>IFERROR(VLOOKUP(A140,'Price Master List'!A:N,6,FALSE),0)</f>
        <v>0.91</v>
      </c>
      <c r="F140" s="27">
        <f>IFERROR(VLOOKUP(A140,'Price Master List'!A:N,10),0)</f>
        <v>0</v>
      </c>
      <c r="G140" s="27">
        <f>IFERROR(VLOOKUP(A140,'Price Master List'!A:N,14,FALSE),0)</f>
        <v>0.95</v>
      </c>
      <c r="H140" s="28">
        <f t="shared" si="24"/>
        <v>3.9999999999999925E-2</v>
      </c>
      <c r="I140" s="38">
        <v>0</v>
      </c>
      <c r="J140" s="3">
        <f t="shared" si="20"/>
        <v>0</v>
      </c>
      <c r="K140" s="4">
        <f t="shared" si="21"/>
        <v>0</v>
      </c>
      <c r="L140" s="3">
        <f t="shared" si="22"/>
        <v>0</v>
      </c>
      <c r="M140" s="4">
        <f t="shared" si="23"/>
        <v>0</v>
      </c>
    </row>
    <row r="141" spans="1:13" x14ac:dyDescent="0.35">
      <c r="A141" t="s">
        <v>153</v>
      </c>
      <c r="B141" s="26">
        <f>VLOOKUP(A141,'Price Master List'!A:Q,15,FALSE)</f>
        <v>0.21</v>
      </c>
      <c r="C141" s="27" t="str">
        <f>VLOOKUP(A141,'Price Master List'!A:Q,16,FALSE)</f>
        <v>ounces</v>
      </c>
      <c r="D141" s="5" t="str">
        <f>VLOOKUP(A141,'Price Master List'!A:Q,17,FALSE)</f>
        <v>Costco</v>
      </c>
      <c r="E141" s="27">
        <f>IFERROR(VLOOKUP(A141,'Price Master List'!A:N,6,FALSE),0)</f>
        <v>0.34</v>
      </c>
      <c r="F141" s="27">
        <f>IFERROR(VLOOKUP(A141,'Price Master List'!A:N,10),0)</f>
        <v>0.21</v>
      </c>
      <c r="G141" s="27">
        <f>IFERROR(VLOOKUP(A141,'Price Master List'!A:N,14,FALSE),0)</f>
        <v>0.47</v>
      </c>
      <c r="H141" s="28">
        <f t="shared" si="24"/>
        <v>0.26</v>
      </c>
      <c r="I141" s="38">
        <v>0</v>
      </c>
      <c r="J141" s="3">
        <f t="shared" si="20"/>
        <v>0</v>
      </c>
      <c r="K141" s="4">
        <f t="shared" si="21"/>
        <v>0</v>
      </c>
      <c r="L141" s="3">
        <f t="shared" si="22"/>
        <v>0</v>
      </c>
      <c r="M141" s="4">
        <f t="shared" si="23"/>
        <v>0</v>
      </c>
    </row>
    <row r="142" spans="1:13" x14ac:dyDescent="0.35">
      <c r="A142" t="s">
        <v>8</v>
      </c>
      <c r="B142" s="26">
        <f>VLOOKUP(A142,'Price Master List'!A:Q,15,FALSE)</f>
        <v>0.99</v>
      </c>
      <c r="C142" s="27" t="str">
        <f>VLOOKUP(A142,'Price Master List'!A:Q,16,FALSE)</f>
        <v>pound</v>
      </c>
      <c r="D142" s="5" t="str">
        <f>VLOOKUP(A142,'Price Master List'!A:Q,17,FALSE)</f>
        <v>Costco</v>
      </c>
      <c r="E142" s="27">
        <f>IFERROR(VLOOKUP(A142,'Price Master List'!A:N,6,FALSE),0)</f>
        <v>1.06</v>
      </c>
      <c r="F142" s="27">
        <f>IFERROR(VLOOKUP(A142,'Price Master List'!A:N,10),0)</f>
        <v>0.99</v>
      </c>
      <c r="G142" s="27">
        <f>IFERROR(VLOOKUP(A142,'Price Master List'!A:N,14,FALSE),0)</f>
        <v>1.04</v>
      </c>
      <c r="H142" s="28">
        <f t="shared" si="24"/>
        <v>5.0000000000000044E-2</v>
      </c>
      <c r="I142" s="38">
        <v>0</v>
      </c>
      <c r="J142" s="3">
        <f t="shared" si="20"/>
        <v>0</v>
      </c>
      <c r="K142" s="4">
        <f t="shared" si="21"/>
        <v>0</v>
      </c>
      <c r="L142" s="3">
        <f t="shared" si="22"/>
        <v>0</v>
      </c>
      <c r="M142" s="4">
        <f t="shared" si="23"/>
        <v>0</v>
      </c>
    </row>
    <row r="143" spans="1:13" x14ac:dyDescent="0.35">
      <c r="A143" t="s">
        <v>162</v>
      </c>
      <c r="B143" s="26">
        <f>VLOOKUP(A143,'Price Master List'!A:Q,15,FALSE)</f>
        <v>0.11</v>
      </c>
      <c r="C143" s="27" t="str">
        <f>VLOOKUP(A143,'Price Master List'!A:Q,16,FALSE)</f>
        <v>ounces</v>
      </c>
      <c r="D143" s="5" t="str">
        <f>VLOOKUP(A143,'Price Master List'!A:Q,17,FALSE)</f>
        <v>Aldi</v>
      </c>
      <c r="E143" s="27">
        <f>IFERROR(VLOOKUP(A143,'Price Master List'!A:N,6,FALSE),0)</f>
        <v>0.19</v>
      </c>
      <c r="F143" s="27">
        <f>IFERROR(VLOOKUP(A143,'Price Master List'!A:N,10),0)</f>
        <v>0.19</v>
      </c>
      <c r="G143" s="27">
        <f>IFERROR(VLOOKUP(A143,'Price Master List'!A:N,14,FALSE),0)</f>
        <v>0.11</v>
      </c>
      <c r="H143" s="28">
        <f t="shared" si="24"/>
        <v>0</v>
      </c>
      <c r="I143" s="38">
        <v>0</v>
      </c>
      <c r="J143" s="3">
        <f t="shared" si="20"/>
        <v>0</v>
      </c>
      <c r="K143" s="4">
        <f t="shared" si="21"/>
        <v>0</v>
      </c>
      <c r="L143" s="3">
        <f t="shared" si="22"/>
        <v>0</v>
      </c>
      <c r="M143" s="4">
        <f t="shared" si="23"/>
        <v>0</v>
      </c>
    </row>
    <row r="144" spans="1:13" x14ac:dyDescent="0.35">
      <c r="A144" t="s">
        <v>18</v>
      </c>
      <c r="B144" s="26">
        <f>VLOOKUP(A144,'Price Master List'!A:Q,15,FALSE)</f>
        <v>0.73</v>
      </c>
      <c r="C144" s="27" t="str">
        <f>VLOOKUP(A144,'Price Master List'!A:Q,16,FALSE)</f>
        <v>pounds</v>
      </c>
      <c r="D144" s="5" t="str">
        <f>VLOOKUP(A144,'Price Master List'!A:Q,17,FALSE)</f>
        <v>Aldi</v>
      </c>
      <c r="E144" s="27">
        <f>IFERROR(VLOOKUP(A144,'Price Master List'!A:N,6,FALSE),0)</f>
        <v>0.75</v>
      </c>
      <c r="F144" s="27">
        <f>IFERROR(VLOOKUP(A144,'Price Master List'!A:N,10),0)</f>
        <v>0.74</v>
      </c>
      <c r="G144" s="27">
        <f>IFERROR(VLOOKUP(A144,'Price Master List'!A:N,14,FALSE),0)</f>
        <v>0.73</v>
      </c>
      <c r="H144" s="28">
        <f t="shared" si="24"/>
        <v>0</v>
      </c>
      <c r="I144" s="38">
        <v>0</v>
      </c>
      <c r="J144" s="3">
        <f t="shared" si="20"/>
        <v>0</v>
      </c>
      <c r="K144" s="4">
        <f t="shared" si="21"/>
        <v>0</v>
      </c>
      <c r="L144" s="3">
        <f t="shared" si="22"/>
        <v>0</v>
      </c>
      <c r="M144" s="4">
        <f t="shared" si="23"/>
        <v>0</v>
      </c>
    </row>
    <row r="145" spans="1:13" x14ac:dyDescent="0.35">
      <c r="A145" t="s">
        <v>70</v>
      </c>
      <c r="B145" s="26">
        <f>VLOOKUP(A145,'Price Master List'!A:Q,15,FALSE)</f>
        <v>0.05</v>
      </c>
      <c r="C145" s="27" t="str">
        <f>VLOOKUP(A145,'Price Master List'!A:Q,16,FALSE)</f>
        <v>bag</v>
      </c>
      <c r="D145" s="5" t="str">
        <f>VLOOKUP(A145,'Price Master List'!A:Q,17,FALSE)</f>
        <v>Aldi</v>
      </c>
      <c r="E145" s="27">
        <f>IFERROR(VLOOKUP(A145,'Price Master List'!A:N,6,FALSE),0)</f>
        <v>0.1</v>
      </c>
      <c r="F145" s="27">
        <f>IFERROR(VLOOKUP(A145,'Price Master List'!A:N,10),0)</f>
        <v>0.1</v>
      </c>
      <c r="G145" s="27">
        <f>IFERROR(VLOOKUP(A145,'Price Master List'!A:N,14,FALSE),0)</f>
        <v>0.05</v>
      </c>
      <c r="H145" s="28">
        <f t="shared" si="24"/>
        <v>0</v>
      </c>
      <c r="I145" s="38">
        <v>0</v>
      </c>
      <c r="J145" s="3">
        <f t="shared" si="20"/>
        <v>0</v>
      </c>
      <c r="K145" s="4">
        <f t="shared" si="21"/>
        <v>0</v>
      </c>
      <c r="L145" s="3">
        <f t="shared" si="22"/>
        <v>0</v>
      </c>
      <c r="M145" s="4">
        <f t="shared" si="23"/>
        <v>0</v>
      </c>
    </row>
    <row r="146" spans="1:13" x14ac:dyDescent="0.35">
      <c r="A146" t="s">
        <v>69</v>
      </c>
      <c r="B146" s="26">
        <f>VLOOKUP(A146,'Price Master List'!A:Q,15,FALSE)</f>
        <v>0.05</v>
      </c>
      <c r="C146" s="27" t="str">
        <f>VLOOKUP(A146,'Price Master List'!A:Q,16,FALSE)</f>
        <v>bag</v>
      </c>
      <c r="D146" s="5" t="str">
        <f>VLOOKUP(A146,'Price Master List'!A:Q,17,FALSE)</f>
        <v>Aldi</v>
      </c>
      <c r="E146" s="27">
        <f>IFERROR(VLOOKUP(A146,'Price Master List'!A:N,6,FALSE),0)</f>
        <v>7.0000000000000007E-2</v>
      </c>
      <c r="F146" s="27">
        <f>IFERROR(VLOOKUP(A146,'Price Master List'!A:N,10),0)</f>
        <v>0.06</v>
      </c>
      <c r="G146" s="27">
        <f>IFERROR(VLOOKUP(A146,'Price Master List'!A:N,14,FALSE),0)</f>
        <v>0.05</v>
      </c>
      <c r="H146" s="28">
        <f t="shared" si="24"/>
        <v>0</v>
      </c>
      <c r="I146" s="38">
        <v>0</v>
      </c>
      <c r="J146" s="3">
        <f t="shared" si="20"/>
        <v>0</v>
      </c>
      <c r="K146" s="4">
        <f t="shared" si="21"/>
        <v>0</v>
      </c>
      <c r="L146" s="3">
        <f t="shared" si="22"/>
        <v>0</v>
      </c>
      <c r="M146" s="4">
        <f t="shared" si="23"/>
        <v>0</v>
      </c>
    </row>
    <row r="148" spans="1:13" x14ac:dyDescent="0.35">
      <c r="J148" s="3">
        <f>SUM(J3:J146)</f>
        <v>0</v>
      </c>
      <c r="K148" s="5">
        <f>SUM(K3:K146)</f>
        <v>0</v>
      </c>
      <c r="L148" s="3">
        <f>SUM(L3:L146)</f>
        <v>0</v>
      </c>
      <c r="M148" s="5">
        <f>SUM(M3:M146)</f>
        <v>0</v>
      </c>
    </row>
  </sheetData>
  <mergeCells count="3">
    <mergeCell ref="B1:H1"/>
    <mergeCell ref="L1:M1"/>
    <mergeCell ref="J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5"/>
  <sheetViews>
    <sheetView workbookViewId="0">
      <selection activeCell="C10" sqref="C10"/>
    </sheetView>
  </sheetViews>
  <sheetFormatPr defaultRowHeight="14.5" x14ac:dyDescent="0.35"/>
  <sheetData>
    <row r="2" spans="1:5" x14ac:dyDescent="0.35">
      <c r="A2" t="s">
        <v>52</v>
      </c>
      <c r="E2" s="1" t="str">
        <f>IF(C5&gt;C4,"YES","NO")</f>
        <v>NO</v>
      </c>
    </row>
    <row r="3" spans="1:5" x14ac:dyDescent="0.35">
      <c r="A3" t="s">
        <v>68</v>
      </c>
      <c r="E3" s="1" t="str">
        <f>IF((C5*0.02)&gt;55,"YES","NO")</f>
        <v>NO</v>
      </c>
    </row>
    <row r="4" spans="1:5" x14ac:dyDescent="0.35">
      <c r="B4" t="s">
        <v>60</v>
      </c>
      <c r="C4" s="30">
        <v>45</v>
      </c>
    </row>
    <row r="5" spans="1:5" x14ac:dyDescent="0.35">
      <c r="B5" t="s">
        <v>63</v>
      </c>
      <c r="C5" s="30">
        <f>'Item analysis'!L148</f>
        <v>0</v>
      </c>
    </row>
    <row r="7" spans="1:5" x14ac:dyDescent="0.35">
      <c r="A7" t="s">
        <v>61</v>
      </c>
      <c r="E7" s="1" t="str">
        <f>IF(C10&gt;C9,"YES","NO")</f>
        <v>NO</v>
      </c>
    </row>
    <row r="9" spans="1:5" x14ac:dyDescent="0.35">
      <c r="B9" t="s">
        <v>60</v>
      </c>
      <c r="C9" s="30">
        <v>60</v>
      </c>
    </row>
    <row r="10" spans="1:5" x14ac:dyDescent="0.35">
      <c r="B10" t="s">
        <v>63</v>
      </c>
      <c r="C10" s="30">
        <f>'Item analysis'!M148</f>
        <v>0</v>
      </c>
    </row>
    <row r="12" spans="1:5" x14ac:dyDescent="0.35">
      <c r="A12" t="s">
        <v>62</v>
      </c>
      <c r="E12" s="1" t="str">
        <f>IF(C14&gt;0,"YES","NO")</f>
        <v>NO</v>
      </c>
    </row>
    <row r="14" spans="1:5" x14ac:dyDescent="0.35">
      <c r="B14" t="s">
        <v>219</v>
      </c>
      <c r="C14" s="30">
        <f>'Item analysis'!J148+'Item analysis'!K148-Decision!C4-Decision!C9</f>
        <v>-105</v>
      </c>
    </row>
    <row r="15" spans="1:5" x14ac:dyDescent="0.35">
      <c r="C15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Price Master List</vt:lpstr>
      <vt:lpstr>Item analysis</vt:lpstr>
      <vt:lpstr>Decision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MCsquared</dc:creator>
  <cp:lastModifiedBy>MCsquared</cp:lastModifiedBy>
  <dcterms:created xsi:type="dcterms:W3CDTF">2022-01-12T18:44:56Z</dcterms:created>
  <dcterms:modified xsi:type="dcterms:W3CDTF">2022-02-06T14:36:14Z</dcterms:modified>
</cp:coreProperties>
</file>